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9720" windowHeight="2775" tabRatio="767" activeTab="1"/>
  </bookViews>
  <sheets>
    <sheet name="A-Assumptions" sheetId="1" r:id="rId1"/>
    <sheet name="College A Budget Worksheet" sheetId="2" r:id="rId2"/>
  </sheets>
  <externalReferences>
    <externalReference r:id="rId5"/>
  </externalReferences>
  <definedNames>
    <definedName name="analysis">#REF!</definedName>
    <definedName name="as.occup">#REF!</definedName>
    <definedName name="building">#REF!</definedName>
    <definedName name="charge.incr">'[1]Variables'!$B$9</definedName>
    <definedName name="cola">#REF!</definedName>
    <definedName name="com">#REF!</definedName>
    <definedName name="depreciation">'[1]Variables'!$C$11</definedName>
    <definedName name="equipment">#REF!</definedName>
    <definedName name="exhB">#REF!</definedName>
    <definedName name="fringe">'[1]Variables'!$B$3</definedName>
    <definedName name="hp.occup">#REF!</definedName>
    <definedName name="indgrowth.y2">'[1]Variables'!$C$8</definedName>
    <definedName name="indgrowth.y3">'[1]Variables'!$D$8</definedName>
    <definedName name="indgrowth.y4">'[1]Variables'!$E$8</definedName>
    <definedName name="indgrowth.y5">'[1]Variables'!$F$8</definedName>
    <definedName name="indgrowth.y6">'[1]Variables'!$G$8</definedName>
    <definedName name="industry.ratio">'[1]Variables'!#REF!</definedName>
    <definedName name="industry.yield">'[1]Variables'!#REF!</definedName>
    <definedName name="inflation">#REF!</definedName>
    <definedName name="land">#REF!</definedName>
    <definedName name="mo.occup">#REF!</definedName>
    <definedName name="nih.ratio">'[1]Variables'!#REF!</definedName>
    <definedName name="nih.yield">'[1]Variables'!#REF!</definedName>
    <definedName name="nihgrowth.y2">'[1]Variables'!$C$7</definedName>
    <definedName name="nihgrowth.y3">'[1]Variables'!$D$7</definedName>
    <definedName name="nihgrowth.y4">'[1]Variables'!$E$7</definedName>
    <definedName name="nihgrowth.y5">'[1]Variables'!$F$7</definedName>
    <definedName name="nihgrowth.y6">'[1]Variables'!$G$7</definedName>
    <definedName name="occup.changes">#REF!</definedName>
    <definedName name="other">#REF!</definedName>
    <definedName name="part1">#REF!</definedName>
    <definedName name="part2">#REF!</definedName>
    <definedName name="plgrowth.y4">'[1]Variables'!$E$9</definedName>
    <definedName name="plgrowth.y5">'[1]Variables'!$F$9</definedName>
    <definedName name="plgrowth.y6">'[1]Variables'!$G$9</definedName>
    <definedName name="_xlnm.Print_Area" localSheetId="0">'A-Assumptions'!$A$1:$G$51</definedName>
    <definedName name="_xlnm.Print_Area" localSheetId="1">'College A Budget Worksheet'!$B$1:$K$77</definedName>
    <definedName name="_xlnm.Print_Titles" localSheetId="0">'A-Assumptions'!$1:$5</definedName>
    <definedName name="_xlnm.Print_Titles" localSheetId="1">'College A Budget Worksheet'!$4:$6</definedName>
    <definedName name="redux">#REF!</definedName>
    <definedName name="rent.redux">#REF!</definedName>
    <definedName name="roi">#REF!</definedName>
    <definedName name="royalty.ratio">'[1]Variables'!#REF!</definedName>
    <definedName name="royalty.yield">'[1]Variables'!#REF!</definedName>
    <definedName name="rr">#REF!</definedName>
    <definedName name="service.equipment">#REF!</definedName>
    <definedName name="sqft">#REF!</definedName>
    <definedName name="Start_Up_Costs">#REF!</definedName>
    <definedName name="user.ratio">'[1]Variables'!#REF!</definedName>
    <definedName name="wrn.draft." localSheetId="1" hidden="1">{#N/A,#N/A,FALSE,"C-Profit &amp; Loss";#N/A,#N/A,FALSE,"D-Management Summary";#N/A,#N/A,FALSE,"E-Surgery";#N/A,#N/A,FALSE,"F-Detailed Expenses";#N/A,#N/A,FALSE,"G-Depreciation ";#N/A,#N/A,FALSE,"H-Interest";#N/A,#N/A,FALSE,"I-Construction Estimate"}</definedName>
    <definedName name="wrn.psi." localSheetId="1" hidden="1">{#N/A,#N/A,FALSE,"Summary";#N/A,#N/A,FALSE,"Revenue";#N/A,#N/A,FALSE,"Operating Expenses";#N/A,#N/A,FALSE,"Construction";#N/A,#N/A,FALSE,"Depreciation ";#N/A,#N/A,FALSE,"Interest";#N/A,#N/A,FALSE,"Variables"}</definedName>
    <definedName name="wrn.research." localSheetId="1" hidden="1">{#N/A,#N/A,FALSE,"I-Summary";#N/A,#N/A,FALSE,"II-Indirect Revenue";#N/A,#N/A,FALSE,"III-Rent Revenue";#N/A,#N/A,FALSE,"IV-Operating Costs";#N/A,#N/A,FALSE,"V-Construction Estimate";#N/A,#N/A,FALSE,"VI-Depreciation ";#N/A,#N/A,FALSE,"Variables"}</definedName>
    <definedName name="Year1_SSIIncr">#REF!</definedName>
    <definedName name="Year1_TuitionIncr">#REF!</definedName>
    <definedName name="Year2_SalaryIncr">#REF!</definedName>
    <definedName name="Year2_SSIIncr">#REF!</definedName>
    <definedName name="Year2_TuitionIncr">#REF!</definedName>
    <definedName name="Year3_SalaryIncr">#REF!</definedName>
    <definedName name="Year3_SSIIncr">#REF!</definedName>
    <definedName name="Year3_TuitionIncr">#REF!</definedName>
    <definedName name="Year4_SalaryIncr">#REF!</definedName>
    <definedName name="Year4_SSIIncr">#REF!</definedName>
    <definedName name="Year4_TuitionIncr">#REF!</definedName>
    <definedName name="Year5_SalaryIncr">#REF!</definedName>
    <definedName name="Year5_SSIIncr">#REF!</definedName>
    <definedName name="Year5_TuitionIncr">#REF!</definedName>
  </definedNames>
  <calcPr fullCalcOnLoad="1"/>
</workbook>
</file>

<file path=xl/sharedStrings.xml><?xml version="1.0" encoding="utf-8"?>
<sst xmlns="http://schemas.openxmlformats.org/spreadsheetml/2006/main" count="178" uniqueCount="132">
  <si>
    <t>inc above</t>
  </si>
  <si>
    <t>Revenue Sharing Adj.</t>
  </si>
  <si>
    <t>Net Revenue Prior to OH</t>
  </si>
  <si>
    <t>AA OH</t>
  </si>
  <si>
    <t>Administrative OH</t>
  </si>
  <si>
    <t>Remaining Revenues</t>
  </si>
  <si>
    <t>Description</t>
  </si>
  <si>
    <t>EXPENSES</t>
  </si>
  <si>
    <t>Postage</t>
  </si>
  <si>
    <t>Telephone</t>
  </si>
  <si>
    <t>Miscellaneous</t>
  </si>
  <si>
    <t xml:space="preserve">REVENUES </t>
  </si>
  <si>
    <t>Kent State University</t>
  </si>
  <si>
    <t>Travel</t>
  </si>
  <si>
    <t>Entertainment</t>
  </si>
  <si>
    <t>Supplies</t>
  </si>
  <si>
    <t>Duplic&amp;Printing</t>
  </si>
  <si>
    <t>Other Info&amp;Commun</t>
  </si>
  <si>
    <t>Maint&amp;Repairs</t>
  </si>
  <si>
    <t>Rentals</t>
  </si>
  <si>
    <t>Student Aid</t>
  </si>
  <si>
    <t>Senate Bill 140</t>
  </si>
  <si>
    <t>Current Expenses:</t>
  </si>
  <si>
    <t>FY07</t>
  </si>
  <si>
    <t>Contract-Admin/Prof</t>
  </si>
  <si>
    <t>Hourly</t>
  </si>
  <si>
    <t>Faculty</t>
  </si>
  <si>
    <t>Summer Program</t>
  </si>
  <si>
    <t>Students</t>
  </si>
  <si>
    <t>Revenues:</t>
  </si>
  <si>
    <t>Personal Service:</t>
  </si>
  <si>
    <t>Non-Payroll</t>
  </si>
  <si>
    <t>Staff Benefits:</t>
  </si>
  <si>
    <t>Insurance, Retirement, Other</t>
  </si>
  <si>
    <t>Estimate-ERIP</t>
  </si>
  <si>
    <t>Total Staff Benefits</t>
  </si>
  <si>
    <t>Total Personal Service</t>
  </si>
  <si>
    <t>Total Current Expenses</t>
  </si>
  <si>
    <t>Excess(Deficiency) of</t>
  </si>
  <si>
    <t>Revenue over Expenditures</t>
  </si>
  <si>
    <t>Other</t>
  </si>
  <si>
    <t>Total Revenues</t>
  </si>
  <si>
    <t>FY09</t>
  </si>
  <si>
    <t>FY10</t>
  </si>
  <si>
    <t>Budget</t>
  </si>
  <si>
    <t>Equipment/Start-up</t>
  </si>
  <si>
    <t>ASSUMPTIONS</t>
  </si>
  <si>
    <t xml:space="preserve">Academic Affairs Overhead </t>
  </si>
  <si>
    <t>Administrative Overhead</t>
  </si>
  <si>
    <t>Total Overhead</t>
  </si>
  <si>
    <t>FY06</t>
  </si>
  <si>
    <t>Actuals</t>
  </si>
  <si>
    <t>FY08</t>
  </si>
  <si>
    <t>Revised</t>
  </si>
  <si>
    <t>Increase/</t>
  </si>
  <si>
    <t>(Decrease)</t>
  </si>
  <si>
    <t>%</t>
  </si>
  <si>
    <t>Budget Performance</t>
  </si>
  <si>
    <t>Undergraduate</t>
  </si>
  <si>
    <t>Graduate</t>
  </si>
  <si>
    <t>Doctoral</t>
  </si>
  <si>
    <t>Success Challenge</t>
  </si>
  <si>
    <t>Investment Income</t>
  </si>
  <si>
    <t>Non-Centers</t>
  </si>
  <si>
    <t>Salary Increase Pool</t>
  </si>
  <si>
    <t>FY010</t>
  </si>
  <si>
    <t>GA Teaching</t>
  </si>
  <si>
    <t>GA Tuition Wavier</t>
  </si>
  <si>
    <t>GA Non-Teaching</t>
  </si>
  <si>
    <t xml:space="preserve"> Revenue</t>
  </si>
  <si>
    <t xml:space="preserve"> Expenses</t>
  </si>
  <si>
    <t>Grand Total Excess(Deficiency)</t>
  </si>
  <si>
    <t>of Revenue over Expenditures</t>
  </si>
  <si>
    <t>Adjusted Budget</t>
  </si>
  <si>
    <t>Projected</t>
  </si>
  <si>
    <t>Contingency (1% of Direct Exp.)</t>
  </si>
  <si>
    <t>Total Direct Expenditures</t>
  </si>
  <si>
    <t>Total Other Revenue</t>
  </si>
  <si>
    <t>Other Revenue</t>
  </si>
  <si>
    <t>Foundation</t>
  </si>
  <si>
    <t>Tuition Increases (UG)</t>
  </si>
  <si>
    <t>Total ADJ Expenditures</t>
  </si>
  <si>
    <t>Contingency</t>
  </si>
  <si>
    <t>SII Increases (UG)</t>
  </si>
  <si>
    <t>Indirect Costs (Grants)</t>
  </si>
  <si>
    <t>N/A</t>
  </si>
  <si>
    <t>SSI</t>
  </si>
  <si>
    <t>Instructional Fees</t>
  </si>
  <si>
    <t>Other - RCM</t>
  </si>
  <si>
    <t>Subtotal for OH Allocation</t>
  </si>
  <si>
    <t>Special Course Fees</t>
  </si>
  <si>
    <t>Other Departmental Revenues</t>
  </si>
  <si>
    <t>Total Other Revenue - RCM</t>
  </si>
  <si>
    <t>Total Instructional Fees</t>
  </si>
  <si>
    <t>Total SSI</t>
  </si>
  <si>
    <t>Grand Totals</t>
  </si>
  <si>
    <t>Grand Total Revenues</t>
  </si>
  <si>
    <t>Transfers</t>
  </si>
  <si>
    <t>RCM Adj.</t>
  </si>
  <si>
    <t>Fringe Benefits</t>
  </si>
  <si>
    <t>Retirement</t>
  </si>
  <si>
    <t>Worker's Compensation</t>
  </si>
  <si>
    <t>Medicare (Hire date after 4/01/86)</t>
  </si>
  <si>
    <t>TOTAL</t>
  </si>
  <si>
    <t>Group Insurance - Yearly Cost/Employee</t>
  </si>
  <si>
    <t>Life Insurance - Yearly Cost/Employee/</t>
  </si>
  <si>
    <t xml:space="preserve">   $1,000 of salary X 3 (annual salary)</t>
  </si>
  <si>
    <t>Parking - Yearly Cost per Employee</t>
  </si>
  <si>
    <t>GA &amp; TA Benefits (average w/retirement</t>
  </si>
  <si>
    <t xml:space="preserve">  &amp; w/o retirement)</t>
  </si>
  <si>
    <t>Telecommunications</t>
  </si>
  <si>
    <t xml:space="preserve"> </t>
  </si>
  <si>
    <t>TT Faculty Excellence Awards</t>
  </si>
  <si>
    <t>NTT Faculty salary percentage increase.</t>
  </si>
  <si>
    <t>TT Faculty salary percentage increase.</t>
  </si>
  <si>
    <t>Tuition Increases (Grad &amp; Prof)</t>
  </si>
  <si>
    <t>SII Increases (Grad &amp; Prof)</t>
  </si>
  <si>
    <t>ADA Contingency</t>
  </si>
  <si>
    <t>Investment/Subvention</t>
  </si>
  <si>
    <t>Tuition Benefits</t>
  </si>
  <si>
    <t>Tuition Benefits - Kent Campus</t>
  </si>
  <si>
    <t>Unclassified Staff salary percentage increase.</t>
  </si>
  <si>
    <t>Classified Staff salary percentage increase.</t>
  </si>
  <si>
    <t>Success Pool</t>
  </si>
  <si>
    <t>Amount per TT Faculty</t>
  </si>
  <si>
    <t>Departments (Enter number of TT Faculty):</t>
  </si>
  <si>
    <t>Total Number of TT Faculty</t>
  </si>
  <si>
    <t>College of A</t>
  </si>
  <si>
    <t>Center</t>
  </si>
  <si>
    <t>Dept A</t>
  </si>
  <si>
    <t>Dept B</t>
  </si>
  <si>
    <t>College Overhead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</si>
</sst>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_);\(#,##0.000\)"/>
    <numFmt numFmtId="167" formatCode="#,##0.0000_);\(#,##0.0000\)"/>
    <numFmt numFmtId="168" formatCode="#,##0.00;\(#,##0.00\)"/>
    <numFmt numFmtId="169" formatCode="#,##0;\(#,##0\)"/>
    <numFmt numFmtId="170" formatCode="&quot;$&quot;#,##0.00;\(&quot;$&quot;#,##0.00\)"/>
    <numFmt numFmtId="171" formatCode="#,##0.000"/>
    <numFmt numFmtId="172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Helv"/>
      <family val="2"/>
    </font>
    <font>
      <b/>
      <sz val="24"/>
      <name val="Helv"/>
      <family val="2"/>
    </font>
    <font>
      <b/>
      <sz val="10"/>
      <color indexed="56"/>
      <name val="Arial"/>
      <family val="2"/>
    </font>
    <font>
      <u val="single"/>
      <sz val="10"/>
      <color indexed="21"/>
      <name val="Arial"/>
      <family val="2"/>
    </font>
    <font>
      <sz val="8"/>
      <name val="Arial"/>
      <family val="2"/>
    </font>
    <font>
      <sz val="10"/>
      <name val="Humnst777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8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1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31" fillId="42" borderId="3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0" fontId="13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6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6" borderId="1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9" fillId="4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40" fillId="40" borderId="15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37" fontId="0" fillId="0" borderId="0" xfId="420" applyNumberFormat="1" applyBorder="1" applyAlignment="1">
      <alignment/>
    </xf>
    <xf numFmtId="7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21" xfId="0" applyFont="1" applyBorder="1" applyAlignment="1">
      <alignment horizontal="center"/>
    </xf>
    <xf numFmtId="37" fontId="0" fillId="0" borderId="0" xfId="420" applyNumberFormat="1" applyAlignment="1">
      <alignment/>
    </xf>
    <xf numFmtId="37" fontId="0" fillId="0" borderId="0" xfId="591" applyNumberFormat="1" applyAlignment="1">
      <alignment/>
    </xf>
    <xf numFmtId="37" fontId="0" fillId="0" borderId="21" xfId="420" applyNumberFormat="1" applyBorder="1" applyAlignment="1">
      <alignment/>
    </xf>
    <xf numFmtId="37" fontId="0" fillId="0" borderId="22" xfId="420" applyNumberFormat="1" applyBorder="1" applyAlignment="1">
      <alignment/>
    </xf>
    <xf numFmtId="164" fontId="0" fillId="0" borderId="0" xfId="420" applyNumberFormat="1" applyAlignment="1">
      <alignment/>
    </xf>
    <xf numFmtId="166" fontId="0" fillId="0" borderId="0" xfId="420" applyNumberForma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9" fillId="0" borderId="0" xfId="422" applyNumberFormat="1" applyFont="1" applyAlignment="1">
      <alignment/>
    </xf>
    <xf numFmtId="37" fontId="9" fillId="0" borderId="21" xfId="422" applyNumberFormat="1" applyFont="1" applyBorder="1" applyAlignment="1">
      <alignment/>
    </xf>
    <xf numFmtId="164" fontId="0" fillId="0" borderId="21" xfId="0" applyNumberFormat="1" applyBorder="1" applyAlignment="1">
      <alignment/>
    </xf>
    <xf numFmtId="37" fontId="9" fillId="0" borderId="22" xfId="422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2" fillId="49" borderId="21" xfId="0" applyFont="1" applyFill="1" applyBorder="1" applyAlignment="1">
      <alignment horizontal="center"/>
    </xf>
    <xf numFmtId="0" fontId="0" fillId="49" borderId="0" xfId="0" applyFill="1" applyAlignment="1">
      <alignment/>
    </xf>
    <xf numFmtId="37" fontId="0" fillId="49" borderId="0" xfId="420" applyNumberFormat="1" applyFill="1" applyAlignment="1">
      <alignment/>
    </xf>
    <xf numFmtId="37" fontId="0" fillId="49" borderId="0" xfId="420" applyNumberFormat="1" applyFill="1" applyBorder="1" applyAlignment="1">
      <alignment/>
    </xf>
    <xf numFmtId="37" fontId="0" fillId="49" borderId="0" xfId="0" applyNumberFormat="1" applyFill="1" applyAlignment="1">
      <alignment/>
    </xf>
    <xf numFmtId="0" fontId="0" fillId="0" borderId="0" xfId="0" applyAlignment="1">
      <alignment horizontal="right"/>
    </xf>
    <xf numFmtId="37" fontId="0" fillId="0" borderId="21" xfId="0" applyNumberFormat="1" applyBorder="1" applyAlignment="1">
      <alignment/>
    </xf>
    <xf numFmtId="0" fontId="2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0" xfId="420" applyNumberFormat="1" applyBorder="1" applyAlignment="1">
      <alignment/>
    </xf>
    <xf numFmtId="37" fontId="0" fillId="0" borderId="22" xfId="0" applyNumberForma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0" fillId="0" borderId="21" xfId="0" applyNumberFormat="1" applyFon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1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2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37" fontId="0" fillId="49" borderId="0" xfId="0" applyNumberForma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/>
    </xf>
    <xf numFmtId="164" fontId="0" fillId="49" borderId="0" xfId="420" applyNumberFormat="1" applyFill="1" applyBorder="1" applyAlignment="1">
      <alignment/>
    </xf>
    <xf numFmtId="166" fontId="0" fillId="49" borderId="0" xfId="420" applyNumberFormat="1" applyFill="1" applyBorder="1" applyAlignment="1">
      <alignment/>
    </xf>
    <xf numFmtId="37" fontId="0" fillId="0" borderId="0" xfId="420" applyNumberFormat="1" applyFill="1" applyBorder="1" applyAlignment="1">
      <alignment/>
    </xf>
    <xf numFmtId="37" fontId="0" fillId="0" borderId="0" xfId="420" applyNumberFormat="1" applyFill="1" applyAlignment="1">
      <alignment/>
    </xf>
    <xf numFmtId="37" fontId="0" fillId="0" borderId="0" xfId="420" applyNumberFormat="1" applyFont="1" applyAlignment="1">
      <alignment/>
    </xf>
    <xf numFmtId="37" fontId="0" fillId="0" borderId="21" xfId="42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7" fontId="3" fillId="0" borderId="0" xfId="420" applyNumberFormat="1" applyFont="1" applyAlignment="1">
      <alignment/>
    </xf>
    <xf numFmtId="37" fontId="0" fillId="0" borderId="0" xfId="420" applyNumberFormat="1" applyFont="1" applyAlignment="1">
      <alignment horizontal="right"/>
    </xf>
    <xf numFmtId="37" fontId="3" fillId="0" borderId="21" xfId="420" applyNumberFormat="1" applyFont="1" applyBorder="1" applyAlignment="1">
      <alignment/>
    </xf>
    <xf numFmtId="37" fontId="3" fillId="0" borderId="0" xfId="420" applyNumberFormat="1" applyFont="1" applyBorder="1" applyAlignment="1">
      <alignment/>
    </xf>
    <xf numFmtId="37" fontId="0" fillId="0" borderId="0" xfId="420" applyNumberFormat="1" applyFont="1" applyAlignment="1">
      <alignment/>
    </xf>
    <xf numFmtId="37" fontId="0" fillId="0" borderId="0" xfId="420" applyNumberFormat="1" applyFont="1" applyFill="1" applyAlignment="1">
      <alignment/>
    </xf>
    <xf numFmtId="37" fontId="0" fillId="49" borderId="0" xfId="42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37" fontId="0" fillId="0" borderId="21" xfId="42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22" xfId="42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49" borderId="0" xfId="0" applyFill="1" applyBorder="1" applyAlignment="1">
      <alignment/>
    </xf>
    <xf numFmtId="167" fontId="0" fillId="0" borderId="0" xfId="420" applyNumberFormat="1" applyFill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Fill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21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420" applyNumberFormat="1" applyFont="1" applyBorder="1" applyAlignment="1">
      <alignment horizontal="right"/>
    </xf>
    <xf numFmtId="37" fontId="0" fillId="0" borderId="0" xfId="420" applyNumberFormat="1" applyFont="1" applyBorder="1" applyAlignment="1">
      <alignment/>
    </xf>
    <xf numFmtId="37" fontId="9" fillId="0" borderId="0" xfId="422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37" fontId="0" fillId="0" borderId="0" xfId="42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559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23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2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" xfId="30"/>
    <cellStyle name="20% - Accent2 10" xfId="31"/>
    <cellStyle name="20% - Accent2 11" xfId="32"/>
    <cellStyle name="20% - Accent2 12" xfId="33"/>
    <cellStyle name="20% - Accent2 13" xfId="34"/>
    <cellStyle name="20% - Accent2 14" xfId="35"/>
    <cellStyle name="20% - Accent2 15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" xfId="45"/>
    <cellStyle name="20% - Accent3 10" xfId="46"/>
    <cellStyle name="20% - Accent3 11" xfId="47"/>
    <cellStyle name="20% - Accent3 12" xfId="48"/>
    <cellStyle name="20% - Accent3 13" xfId="49"/>
    <cellStyle name="20% - Accent3 14" xfId="50"/>
    <cellStyle name="20% - Accent3 15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" xfId="60"/>
    <cellStyle name="20% - Accent4 10" xfId="61"/>
    <cellStyle name="20% - Accent4 11" xfId="62"/>
    <cellStyle name="20% - Accent4 12" xfId="63"/>
    <cellStyle name="20% - Accent4 13" xfId="64"/>
    <cellStyle name="20% - Accent4 14" xfId="65"/>
    <cellStyle name="20% - Accent4 15" xfId="66"/>
    <cellStyle name="20% - Accent4 2" xfId="67"/>
    <cellStyle name="20% - Accent4 3" xfId="68"/>
    <cellStyle name="20% - Accent4 4" xfId="69"/>
    <cellStyle name="20% - Accent4 5" xfId="70"/>
    <cellStyle name="20% - Accent4 6" xfId="71"/>
    <cellStyle name="20% - Accent4 7" xfId="72"/>
    <cellStyle name="20% - Accent4 8" xfId="73"/>
    <cellStyle name="20% - Accent4 9" xfId="74"/>
    <cellStyle name="20% - Accent5" xfId="75"/>
    <cellStyle name="20% - Accent5 10" xfId="76"/>
    <cellStyle name="20% - Accent5 11" xfId="77"/>
    <cellStyle name="20% - Accent5 12" xfId="78"/>
    <cellStyle name="20% - Accent5 13" xfId="79"/>
    <cellStyle name="20% - Accent5 14" xfId="80"/>
    <cellStyle name="20% - Accent5 15" xfId="81"/>
    <cellStyle name="20% - Accent5 2" xfId="82"/>
    <cellStyle name="20% - Accent5 3" xfId="83"/>
    <cellStyle name="20% - Accent5 4" xfId="84"/>
    <cellStyle name="20% - Accent5 5" xfId="85"/>
    <cellStyle name="20% - Accent5 6" xfId="86"/>
    <cellStyle name="20% - Accent5 7" xfId="87"/>
    <cellStyle name="20% - Accent5 8" xfId="88"/>
    <cellStyle name="20% - Accent5 9" xfId="89"/>
    <cellStyle name="20% - Accent6" xfId="90"/>
    <cellStyle name="20% - Accent6 10" xfId="91"/>
    <cellStyle name="20% - Accent6 11" xfId="92"/>
    <cellStyle name="20% - Accent6 12" xfId="93"/>
    <cellStyle name="20% - Accent6 13" xfId="94"/>
    <cellStyle name="20% - Accent6 14" xfId="95"/>
    <cellStyle name="20% - Accent6 15" xfId="96"/>
    <cellStyle name="20% - Accent6 2" xfId="97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20% - Accent6 9" xfId="104"/>
    <cellStyle name="40% - Accent1" xfId="105"/>
    <cellStyle name="40% - Accent1 10" xfId="106"/>
    <cellStyle name="40% - Accent1 11" xfId="107"/>
    <cellStyle name="40% - Accent1 12" xfId="108"/>
    <cellStyle name="40% - Accent1 13" xfId="109"/>
    <cellStyle name="40% - Accent1 14" xfId="110"/>
    <cellStyle name="40% - Accent1 15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1 8" xfId="118"/>
    <cellStyle name="40% - Accent1 9" xfId="119"/>
    <cellStyle name="40% - Accent2" xfId="120"/>
    <cellStyle name="40% - Accent2 10" xfId="121"/>
    <cellStyle name="40% - Accent2 11" xfId="122"/>
    <cellStyle name="40% - Accent2 12" xfId="123"/>
    <cellStyle name="40% - Accent2 13" xfId="124"/>
    <cellStyle name="40% - Accent2 14" xfId="125"/>
    <cellStyle name="40% - Accent2 15" xfId="126"/>
    <cellStyle name="40% - Accent2 2" xfId="127"/>
    <cellStyle name="40% - Accent2 3" xfId="128"/>
    <cellStyle name="40% - Accent2 4" xfId="129"/>
    <cellStyle name="40% - Accent2 5" xfId="130"/>
    <cellStyle name="40% - Accent2 6" xfId="131"/>
    <cellStyle name="40% - Accent2 7" xfId="132"/>
    <cellStyle name="40% - Accent2 8" xfId="133"/>
    <cellStyle name="40% - Accent2 9" xfId="134"/>
    <cellStyle name="40% - Accent3" xfId="135"/>
    <cellStyle name="40% - Accent3 10" xfId="136"/>
    <cellStyle name="40% - Accent3 11" xfId="137"/>
    <cellStyle name="40% - Accent3 12" xfId="138"/>
    <cellStyle name="40% - Accent3 13" xfId="139"/>
    <cellStyle name="40% - Accent3 14" xfId="140"/>
    <cellStyle name="40% - Accent3 15" xfId="141"/>
    <cellStyle name="40% - Accent3 2" xfId="142"/>
    <cellStyle name="40% - Accent3 3" xfId="143"/>
    <cellStyle name="40% - Accent3 4" xfId="144"/>
    <cellStyle name="40% - Accent3 5" xfId="145"/>
    <cellStyle name="40% - Accent3 6" xfId="146"/>
    <cellStyle name="40% - Accent3 7" xfId="147"/>
    <cellStyle name="40% - Accent3 8" xfId="148"/>
    <cellStyle name="40% - Accent3 9" xfId="149"/>
    <cellStyle name="40% - Accent4" xfId="150"/>
    <cellStyle name="40% - Accent4 10" xfId="151"/>
    <cellStyle name="40% - Accent4 11" xfId="152"/>
    <cellStyle name="40% - Accent4 12" xfId="153"/>
    <cellStyle name="40% - Accent4 13" xfId="154"/>
    <cellStyle name="40% - Accent4 14" xfId="155"/>
    <cellStyle name="40% - Accent4 15" xfId="156"/>
    <cellStyle name="40% - Accent4 2" xfId="157"/>
    <cellStyle name="40% - Accent4 3" xfId="158"/>
    <cellStyle name="40% - Accent4 4" xfId="159"/>
    <cellStyle name="40% - Accent4 5" xfId="160"/>
    <cellStyle name="40% - Accent4 6" xfId="161"/>
    <cellStyle name="40% - Accent4 7" xfId="162"/>
    <cellStyle name="40% - Accent4 8" xfId="163"/>
    <cellStyle name="40% - Accent4 9" xfId="164"/>
    <cellStyle name="40% - Accent5" xfId="165"/>
    <cellStyle name="40% - Accent5 10" xfId="166"/>
    <cellStyle name="40% - Accent5 11" xfId="167"/>
    <cellStyle name="40% - Accent5 12" xfId="168"/>
    <cellStyle name="40% - Accent5 13" xfId="169"/>
    <cellStyle name="40% - Accent5 14" xfId="170"/>
    <cellStyle name="40% - Accent5 15" xfId="171"/>
    <cellStyle name="40% - Accent5 2" xfId="172"/>
    <cellStyle name="40% - Accent5 3" xfId="173"/>
    <cellStyle name="40% - Accent5 4" xfId="174"/>
    <cellStyle name="40% - Accent5 5" xfId="175"/>
    <cellStyle name="40% - Accent5 6" xfId="176"/>
    <cellStyle name="40% - Accent5 7" xfId="177"/>
    <cellStyle name="40% - Accent5 8" xfId="178"/>
    <cellStyle name="40% - Accent5 9" xfId="179"/>
    <cellStyle name="40% - Accent6" xfId="180"/>
    <cellStyle name="40% - Accent6 10" xfId="181"/>
    <cellStyle name="40% - Accent6 11" xfId="182"/>
    <cellStyle name="40% - Accent6 12" xfId="183"/>
    <cellStyle name="40% - Accent6 13" xfId="184"/>
    <cellStyle name="40% - Accent6 14" xfId="185"/>
    <cellStyle name="40% - Accent6 15" xfId="186"/>
    <cellStyle name="40% - Accent6 2" xfId="187"/>
    <cellStyle name="40% - Accent6 3" xfId="188"/>
    <cellStyle name="40% - Accent6 4" xfId="189"/>
    <cellStyle name="40% - Accent6 5" xfId="190"/>
    <cellStyle name="40% - Accent6 6" xfId="191"/>
    <cellStyle name="40% - Accent6 7" xfId="192"/>
    <cellStyle name="40% - Accent6 8" xfId="193"/>
    <cellStyle name="40% - Accent6 9" xfId="194"/>
    <cellStyle name="60% - Accent1" xfId="195"/>
    <cellStyle name="60% - Accent1 10" xfId="196"/>
    <cellStyle name="60% - Accent1 11" xfId="197"/>
    <cellStyle name="60% - Accent1 12" xfId="198"/>
    <cellStyle name="60% - Accent1 13" xfId="199"/>
    <cellStyle name="60% - Accent1 14" xfId="200"/>
    <cellStyle name="60% - Accent1 15" xfId="201"/>
    <cellStyle name="60% - Accent1 2" xfId="202"/>
    <cellStyle name="60% - Accent1 3" xfId="203"/>
    <cellStyle name="60% - Accent1 4" xfId="204"/>
    <cellStyle name="60% - Accent1 5" xfId="205"/>
    <cellStyle name="60% - Accent1 6" xfId="206"/>
    <cellStyle name="60% - Accent1 7" xfId="207"/>
    <cellStyle name="60% - Accent1 8" xfId="208"/>
    <cellStyle name="60% - Accent1 9" xfId="209"/>
    <cellStyle name="60% - Accent2" xfId="210"/>
    <cellStyle name="60% - Accent2 10" xfId="211"/>
    <cellStyle name="60% - Accent2 11" xfId="212"/>
    <cellStyle name="60% - Accent2 12" xfId="213"/>
    <cellStyle name="60% - Accent2 13" xfId="214"/>
    <cellStyle name="60% - Accent2 14" xfId="215"/>
    <cellStyle name="60% - Accent2 15" xfId="216"/>
    <cellStyle name="60% - Accent2 2" xfId="217"/>
    <cellStyle name="60% - Accent2 3" xfId="218"/>
    <cellStyle name="60% - Accent2 4" xfId="219"/>
    <cellStyle name="60% - Accent2 5" xfId="220"/>
    <cellStyle name="60% - Accent2 6" xfId="221"/>
    <cellStyle name="60% - Accent2 7" xfId="222"/>
    <cellStyle name="60% - Accent2 8" xfId="223"/>
    <cellStyle name="60% - Accent2 9" xfId="224"/>
    <cellStyle name="60% - Accent3" xfId="225"/>
    <cellStyle name="60% - Accent3 10" xfId="226"/>
    <cellStyle name="60% - Accent3 11" xfId="227"/>
    <cellStyle name="60% - Accent3 12" xfId="228"/>
    <cellStyle name="60% - Accent3 13" xfId="229"/>
    <cellStyle name="60% - Accent3 14" xfId="230"/>
    <cellStyle name="60% - Accent3 15" xfId="231"/>
    <cellStyle name="60% - Accent3 2" xfId="232"/>
    <cellStyle name="60% - Accent3 3" xfId="233"/>
    <cellStyle name="60% - Accent3 4" xfId="234"/>
    <cellStyle name="60% - Accent3 5" xfId="235"/>
    <cellStyle name="60% - Accent3 6" xfId="236"/>
    <cellStyle name="60% - Accent3 7" xfId="237"/>
    <cellStyle name="60% - Accent3 8" xfId="238"/>
    <cellStyle name="60% - Accent3 9" xfId="239"/>
    <cellStyle name="60% - Accent4" xfId="240"/>
    <cellStyle name="60% - Accent4 10" xfId="241"/>
    <cellStyle name="60% - Accent4 11" xfId="242"/>
    <cellStyle name="60% - Accent4 12" xfId="243"/>
    <cellStyle name="60% - Accent4 13" xfId="244"/>
    <cellStyle name="60% - Accent4 14" xfId="245"/>
    <cellStyle name="60% - Accent4 15" xfId="246"/>
    <cellStyle name="60% - Accent4 2" xfId="247"/>
    <cellStyle name="60% - Accent4 3" xfId="248"/>
    <cellStyle name="60% - Accent4 4" xfId="249"/>
    <cellStyle name="60% - Accent4 5" xfId="250"/>
    <cellStyle name="60% - Accent4 6" xfId="251"/>
    <cellStyle name="60% - Accent4 7" xfId="252"/>
    <cellStyle name="60% - Accent4 8" xfId="253"/>
    <cellStyle name="60% - Accent4 9" xfId="254"/>
    <cellStyle name="60% - Accent5" xfId="255"/>
    <cellStyle name="60% - Accent5 10" xfId="256"/>
    <cellStyle name="60% - Accent5 11" xfId="257"/>
    <cellStyle name="60% - Accent5 12" xfId="258"/>
    <cellStyle name="60% - Accent5 13" xfId="259"/>
    <cellStyle name="60% - Accent5 14" xfId="260"/>
    <cellStyle name="60% - Accent5 15" xfId="261"/>
    <cellStyle name="60% - Accent5 2" xfId="262"/>
    <cellStyle name="60% - Accent5 3" xfId="263"/>
    <cellStyle name="60% - Accent5 4" xfId="264"/>
    <cellStyle name="60% - Accent5 5" xfId="265"/>
    <cellStyle name="60% - Accent5 6" xfId="266"/>
    <cellStyle name="60% - Accent5 7" xfId="267"/>
    <cellStyle name="60% - Accent5 8" xfId="268"/>
    <cellStyle name="60% - Accent5 9" xfId="269"/>
    <cellStyle name="60% - Accent6" xfId="270"/>
    <cellStyle name="60% - Accent6 10" xfId="271"/>
    <cellStyle name="60% - Accent6 11" xfId="272"/>
    <cellStyle name="60% - Accent6 12" xfId="273"/>
    <cellStyle name="60% - Accent6 13" xfId="274"/>
    <cellStyle name="60% - Accent6 14" xfId="275"/>
    <cellStyle name="60% - Accent6 15" xfId="276"/>
    <cellStyle name="60% - Accent6 2" xfId="277"/>
    <cellStyle name="60% - Accent6 3" xfId="278"/>
    <cellStyle name="60% - Accent6 4" xfId="279"/>
    <cellStyle name="60% - Accent6 5" xfId="280"/>
    <cellStyle name="60% - Accent6 6" xfId="281"/>
    <cellStyle name="60% - Accent6 7" xfId="282"/>
    <cellStyle name="60% - Accent6 8" xfId="283"/>
    <cellStyle name="60% - Accent6 9" xfId="284"/>
    <cellStyle name="Accent1" xfId="285"/>
    <cellStyle name="Accent1 10" xfId="286"/>
    <cellStyle name="Accent1 11" xfId="287"/>
    <cellStyle name="Accent1 12" xfId="288"/>
    <cellStyle name="Accent1 13" xfId="289"/>
    <cellStyle name="Accent1 14" xfId="290"/>
    <cellStyle name="Accent1 15" xfId="291"/>
    <cellStyle name="Accent1 2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" xfId="300"/>
    <cellStyle name="Accent2 10" xfId="301"/>
    <cellStyle name="Accent2 11" xfId="302"/>
    <cellStyle name="Accent2 12" xfId="303"/>
    <cellStyle name="Accent2 13" xfId="304"/>
    <cellStyle name="Accent2 14" xfId="305"/>
    <cellStyle name="Accent2 15" xfId="306"/>
    <cellStyle name="Accent2 2" xfId="307"/>
    <cellStyle name="Accent2 3" xfId="308"/>
    <cellStyle name="Accent2 4" xfId="309"/>
    <cellStyle name="Accent2 5" xfId="310"/>
    <cellStyle name="Accent2 6" xfId="311"/>
    <cellStyle name="Accent2 7" xfId="312"/>
    <cellStyle name="Accent2 8" xfId="313"/>
    <cellStyle name="Accent2 9" xfId="314"/>
    <cellStyle name="Accent3" xfId="315"/>
    <cellStyle name="Accent3 10" xfId="316"/>
    <cellStyle name="Accent3 11" xfId="317"/>
    <cellStyle name="Accent3 12" xfId="318"/>
    <cellStyle name="Accent3 13" xfId="319"/>
    <cellStyle name="Accent3 14" xfId="320"/>
    <cellStyle name="Accent3 15" xfId="321"/>
    <cellStyle name="Accent3 2" xfId="322"/>
    <cellStyle name="Accent3 3" xfId="323"/>
    <cellStyle name="Accent3 4" xfId="324"/>
    <cellStyle name="Accent3 5" xfId="325"/>
    <cellStyle name="Accent3 6" xfId="326"/>
    <cellStyle name="Accent3 7" xfId="327"/>
    <cellStyle name="Accent3 8" xfId="328"/>
    <cellStyle name="Accent3 9" xfId="329"/>
    <cellStyle name="Accent4" xfId="330"/>
    <cellStyle name="Accent4 10" xfId="331"/>
    <cellStyle name="Accent4 11" xfId="332"/>
    <cellStyle name="Accent4 12" xfId="333"/>
    <cellStyle name="Accent4 13" xfId="334"/>
    <cellStyle name="Accent4 14" xfId="335"/>
    <cellStyle name="Accent4 15" xfId="336"/>
    <cellStyle name="Accent4 2" xfId="337"/>
    <cellStyle name="Accent4 3" xfId="338"/>
    <cellStyle name="Accent4 4" xfId="339"/>
    <cellStyle name="Accent4 5" xfId="340"/>
    <cellStyle name="Accent4 6" xfId="341"/>
    <cellStyle name="Accent4 7" xfId="342"/>
    <cellStyle name="Accent4 8" xfId="343"/>
    <cellStyle name="Accent4 9" xfId="344"/>
    <cellStyle name="Accent5" xfId="345"/>
    <cellStyle name="Accent5 10" xfId="346"/>
    <cellStyle name="Accent5 11" xfId="347"/>
    <cellStyle name="Accent5 12" xfId="348"/>
    <cellStyle name="Accent5 13" xfId="349"/>
    <cellStyle name="Accent5 14" xfId="350"/>
    <cellStyle name="Accent5 15" xfId="351"/>
    <cellStyle name="Accent5 2" xfId="352"/>
    <cellStyle name="Accent5 3" xfId="353"/>
    <cellStyle name="Accent5 4" xfId="354"/>
    <cellStyle name="Accent5 5" xfId="355"/>
    <cellStyle name="Accent5 6" xfId="356"/>
    <cellStyle name="Accent5 7" xfId="357"/>
    <cellStyle name="Accent5 8" xfId="358"/>
    <cellStyle name="Accent5 9" xfId="359"/>
    <cellStyle name="Accent6" xfId="360"/>
    <cellStyle name="Accent6 10" xfId="361"/>
    <cellStyle name="Accent6 11" xfId="362"/>
    <cellStyle name="Accent6 12" xfId="363"/>
    <cellStyle name="Accent6 13" xfId="364"/>
    <cellStyle name="Accent6 14" xfId="365"/>
    <cellStyle name="Accent6 15" xfId="366"/>
    <cellStyle name="Accent6 2" xfId="367"/>
    <cellStyle name="Accent6 3" xfId="368"/>
    <cellStyle name="Accent6 4" xfId="369"/>
    <cellStyle name="Accent6 5" xfId="370"/>
    <cellStyle name="Accent6 6" xfId="371"/>
    <cellStyle name="Accent6 7" xfId="372"/>
    <cellStyle name="Accent6 8" xfId="373"/>
    <cellStyle name="Accent6 9" xfId="374"/>
    <cellStyle name="Bad" xfId="375"/>
    <cellStyle name="Bad 10" xfId="376"/>
    <cellStyle name="Bad 11" xfId="377"/>
    <cellStyle name="Bad 12" xfId="378"/>
    <cellStyle name="Bad 13" xfId="379"/>
    <cellStyle name="Bad 14" xfId="380"/>
    <cellStyle name="Bad 15" xfId="381"/>
    <cellStyle name="Bad 2" xfId="382"/>
    <cellStyle name="Bad 3" xfId="383"/>
    <cellStyle name="Bad 4" xfId="384"/>
    <cellStyle name="Bad 5" xfId="385"/>
    <cellStyle name="Bad 6" xfId="386"/>
    <cellStyle name="Bad 7" xfId="387"/>
    <cellStyle name="Bad 8" xfId="388"/>
    <cellStyle name="Bad 9" xfId="389"/>
    <cellStyle name="Calculation" xfId="390"/>
    <cellStyle name="Calculation 10" xfId="391"/>
    <cellStyle name="Calculation 11" xfId="392"/>
    <cellStyle name="Calculation 12" xfId="393"/>
    <cellStyle name="Calculation 13" xfId="394"/>
    <cellStyle name="Calculation 14" xfId="395"/>
    <cellStyle name="Calculation 15" xfId="396"/>
    <cellStyle name="Calculation 2" xfId="397"/>
    <cellStyle name="Calculation 3" xfId="398"/>
    <cellStyle name="Calculation 4" xfId="399"/>
    <cellStyle name="Calculation 5" xfId="400"/>
    <cellStyle name="Calculation 6" xfId="401"/>
    <cellStyle name="Calculation 7" xfId="402"/>
    <cellStyle name="Calculation 8" xfId="403"/>
    <cellStyle name="Calculation 9" xfId="404"/>
    <cellStyle name="Check Cell" xfId="405"/>
    <cellStyle name="Check Cell 10" xfId="406"/>
    <cellStyle name="Check Cell 11" xfId="407"/>
    <cellStyle name="Check Cell 12" xfId="408"/>
    <cellStyle name="Check Cell 13" xfId="409"/>
    <cellStyle name="Check Cell 14" xfId="410"/>
    <cellStyle name="Check Cell 15" xfId="411"/>
    <cellStyle name="Check Cell 2" xfId="412"/>
    <cellStyle name="Check Cell 3" xfId="413"/>
    <cellStyle name="Check Cell 4" xfId="414"/>
    <cellStyle name="Check Cell 5" xfId="415"/>
    <cellStyle name="Check Cell 6" xfId="416"/>
    <cellStyle name="Check Cell 7" xfId="417"/>
    <cellStyle name="Check Cell 8" xfId="418"/>
    <cellStyle name="Check Cell 9" xfId="419"/>
    <cellStyle name="Comma" xfId="420"/>
    <cellStyle name="Comma [0]" xfId="421"/>
    <cellStyle name="Currency" xfId="422"/>
    <cellStyle name="Currency [0]" xfId="423"/>
    <cellStyle name="Explanatory Text" xfId="424"/>
    <cellStyle name="Explanatory Text 10" xfId="425"/>
    <cellStyle name="Explanatory Text 11" xfId="426"/>
    <cellStyle name="Explanatory Text 12" xfId="427"/>
    <cellStyle name="Explanatory Text 13" xfId="428"/>
    <cellStyle name="Explanatory Text 14" xfId="429"/>
    <cellStyle name="Explanatory Text 15" xfId="430"/>
    <cellStyle name="Explanatory Text 2" xfId="431"/>
    <cellStyle name="Explanatory Text 3" xfId="432"/>
    <cellStyle name="Explanatory Text 4" xfId="433"/>
    <cellStyle name="Explanatory Text 5" xfId="434"/>
    <cellStyle name="Explanatory Text 6" xfId="435"/>
    <cellStyle name="Explanatory Text 7" xfId="436"/>
    <cellStyle name="Explanatory Text 8" xfId="437"/>
    <cellStyle name="Explanatory Text 9" xfId="438"/>
    <cellStyle name="Good" xfId="439"/>
    <cellStyle name="Good 10" xfId="440"/>
    <cellStyle name="Good 11" xfId="441"/>
    <cellStyle name="Good 12" xfId="442"/>
    <cellStyle name="Good 13" xfId="443"/>
    <cellStyle name="Good 14" xfId="444"/>
    <cellStyle name="Good 15" xfId="445"/>
    <cellStyle name="Good 2" xfId="446"/>
    <cellStyle name="Good 3" xfId="447"/>
    <cellStyle name="Good 4" xfId="448"/>
    <cellStyle name="Good 5" xfId="449"/>
    <cellStyle name="Good 6" xfId="450"/>
    <cellStyle name="Good 7" xfId="451"/>
    <cellStyle name="Good 8" xfId="452"/>
    <cellStyle name="Good 9" xfId="453"/>
    <cellStyle name="Heading 1" xfId="454"/>
    <cellStyle name="Heading 1 10" xfId="455"/>
    <cellStyle name="Heading 1 11" xfId="456"/>
    <cellStyle name="Heading 1 12" xfId="457"/>
    <cellStyle name="Heading 1 13" xfId="458"/>
    <cellStyle name="Heading 1 14" xfId="459"/>
    <cellStyle name="Heading 1 15" xfId="460"/>
    <cellStyle name="Heading 1 2" xfId="461"/>
    <cellStyle name="Heading 1 3" xfId="462"/>
    <cellStyle name="Heading 1 4" xfId="463"/>
    <cellStyle name="Heading 1 5" xfId="464"/>
    <cellStyle name="Heading 1 6" xfId="465"/>
    <cellStyle name="Heading 1 7" xfId="466"/>
    <cellStyle name="Heading 1 8" xfId="467"/>
    <cellStyle name="Heading 1 9" xfId="468"/>
    <cellStyle name="Heading 2" xfId="469"/>
    <cellStyle name="Heading 2 10" xfId="470"/>
    <cellStyle name="Heading 2 11" xfId="471"/>
    <cellStyle name="Heading 2 12" xfId="472"/>
    <cellStyle name="Heading 2 13" xfId="473"/>
    <cellStyle name="Heading 2 14" xfId="474"/>
    <cellStyle name="Heading 2 15" xfId="475"/>
    <cellStyle name="Heading 2 2" xfId="476"/>
    <cellStyle name="Heading 2 3" xfId="477"/>
    <cellStyle name="Heading 2 4" xfId="478"/>
    <cellStyle name="Heading 2 5" xfId="479"/>
    <cellStyle name="Heading 2 6" xfId="480"/>
    <cellStyle name="Heading 2 7" xfId="481"/>
    <cellStyle name="Heading 2 8" xfId="482"/>
    <cellStyle name="Heading 2 9" xfId="483"/>
    <cellStyle name="Heading 3" xfId="484"/>
    <cellStyle name="Heading 3 10" xfId="485"/>
    <cellStyle name="Heading 3 11" xfId="486"/>
    <cellStyle name="Heading 3 12" xfId="487"/>
    <cellStyle name="Heading 3 13" xfId="488"/>
    <cellStyle name="Heading 3 14" xfId="489"/>
    <cellStyle name="Heading 3 15" xfId="490"/>
    <cellStyle name="Heading 3 2" xfId="491"/>
    <cellStyle name="Heading 3 3" xfId="492"/>
    <cellStyle name="Heading 3 4" xfId="493"/>
    <cellStyle name="Heading 3 5" xfId="494"/>
    <cellStyle name="Heading 3 6" xfId="495"/>
    <cellStyle name="Heading 3 7" xfId="496"/>
    <cellStyle name="Heading 3 8" xfId="497"/>
    <cellStyle name="Heading 3 9" xfId="498"/>
    <cellStyle name="Heading 4" xfId="499"/>
    <cellStyle name="Heading 4 10" xfId="500"/>
    <cellStyle name="Heading 4 11" xfId="501"/>
    <cellStyle name="Heading 4 12" xfId="502"/>
    <cellStyle name="Heading 4 13" xfId="503"/>
    <cellStyle name="Heading 4 14" xfId="504"/>
    <cellStyle name="Heading 4 15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Input" xfId="514"/>
    <cellStyle name="Input 10" xfId="515"/>
    <cellStyle name="Input 11" xfId="516"/>
    <cellStyle name="Input 12" xfId="517"/>
    <cellStyle name="Input 13" xfId="518"/>
    <cellStyle name="Input 14" xfId="519"/>
    <cellStyle name="Input 15" xfId="520"/>
    <cellStyle name="Input 2" xfId="521"/>
    <cellStyle name="Input 3" xfId="522"/>
    <cellStyle name="Input 4" xfId="523"/>
    <cellStyle name="Input 5" xfId="524"/>
    <cellStyle name="Input 6" xfId="525"/>
    <cellStyle name="Input 7" xfId="526"/>
    <cellStyle name="Input 8" xfId="527"/>
    <cellStyle name="Input 9" xfId="528"/>
    <cellStyle name="Linked Cell" xfId="529"/>
    <cellStyle name="Linked Cell 10" xfId="530"/>
    <cellStyle name="Linked Cell 11" xfId="531"/>
    <cellStyle name="Linked Cell 12" xfId="532"/>
    <cellStyle name="Linked Cell 13" xfId="533"/>
    <cellStyle name="Linked Cell 14" xfId="534"/>
    <cellStyle name="Linked Cell 15" xfId="535"/>
    <cellStyle name="Linked Cell 2" xfId="536"/>
    <cellStyle name="Linked Cell 3" xfId="537"/>
    <cellStyle name="Linked Cell 4" xfId="538"/>
    <cellStyle name="Linked Cell 5" xfId="539"/>
    <cellStyle name="Linked Cell 6" xfId="540"/>
    <cellStyle name="Linked Cell 7" xfId="541"/>
    <cellStyle name="Linked Cell 8" xfId="542"/>
    <cellStyle name="Linked Cell 9" xfId="543"/>
    <cellStyle name="Neutral" xfId="544"/>
    <cellStyle name="Neutral 10" xfId="545"/>
    <cellStyle name="Neutral 11" xfId="546"/>
    <cellStyle name="Neutral 12" xfId="547"/>
    <cellStyle name="Neutral 13" xfId="548"/>
    <cellStyle name="Neutral 14" xfId="549"/>
    <cellStyle name="Neutral 15" xfId="550"/>
    <cellStyle name="Neutral 2" xfId="551"/>
    <cellStyle name="Neutral 3" xfId="552"/>
    <cellStyle name="Neutral 4" xfId="553"/>
    <cellStyle name="Neutral 5" xfId="554"/>
    <cellStyle name="Neutral 6" xfId="555"/>
    <cellStyle name="Neutral 7" xfId="556"/>
    <cellStyle name="Neutral 8" xfId="557"/>
    <cellStyle name="Neutral 9" xfId="558"/>
    <cellStyle name="Normal 10" xfId="559"/>
    <cellStyle name="Normal 2 2" xfId="560"/>
    <cellStyle name="Note" xfId="561"/>
    <cellStyle name="Note 10" xfId="562"/>
    <cellStyle name="Note 11" xfId="563"/>
    <cellStyle name="Note 12" xfId="564"/>
    <cellStyle name="Note 13" xfId="565"/>
    <cellStyle name="Note 14" xfId="566"/>
    <cellStyle name="Note 15" xfId="567"/>
    <cellStyle name="Note 2" xfId="568"/>
    <cellStyle name="Note 3" xfId="569"/>
    <cellStyle name="Note 4" xfId="570"/>
    <cellStyle name="Note 5" xfId="571"/>
    <cellStyle name="Note 6" xfId="572"/>
    <cellStyle name="Note 7" xfId="573"/>
    <cellStyle name="Note 8" xfId="574"/>
    <cellStyle name="Note 9" xfId="575"/>
    <cellStyle name="Output" xfId="576"/>
    <cellStyle name="Output 10" xfId="577"/>
    <cellStyle name="Output 11" xfId="578"/>
    <cellStyle name="Output 12" xfId="579"/>
    <cellStyle name="Output 13" xfId="580"/>
    <cellStyle name="Output 14" xfId="581"/>
    <cellStyle name="Output 15" xfId="582"/>
    <cellStyle name="Output 2" xfId="583"/>
    <cellStyle name="Output 3" xfId="584"/>
    <cellStyle name="Output 4" xfId="585"/>
    <cellStyle name="Output 5" xfId="586"/>
    <cellStyle name="Output 6" xfId="587"/>
    <cellStyle name="Output 7" xfId="588"/>
    <cellStyle name="Output 8" xfId="589"/>
    <cellStyle name="Output 9" xfId="590"/>
    <cellStyle name="Percent" xfId="591"/>
    <cellStyle name="Title" xfId="592"/>
    <cellStyle name="Title 10" xfId="593"/>
    <cellStyle name="Title 11" xfId="594"/>
    <cellStyle name="Title 12" xfId="595"/>
    <cellStyle name="Title 13" xfId="596"/>
    <cellStyle name="Title 14" xfId="597"/>
    <cellStyle name="Title 15" xfId="598"/>
    <cellStyle name="Title 2" xfId="599"/>
    <cellStyle name="Title 3" xfId="600"/>
    <cellStyle name="Title 4" xfId="601"/>
    <cellStyle name="Title 5" xfId="602"/>
    <cellStyle name="Title 6" xfId="603"/>
    <cellStyle name="Title 7" xfId="604"/>
    <cellStyle name="Title 8" xfId="605"/>
    <cellStyle name="Title 9" xfId="606"/>
    <cellStyle name="Total" xfId="607"/>
    <cellStyle name="Total 10" xfId="608"/>
    <cellStyle name="Total 11" xfId="609"/>
    <cellStyle name="Total 12" xfId="610"/>
    <cellStyle name="Total 13" xfId="611"/>
    <cellStyle name="Total 14" xfId="612"/>
    <cellStyle name="Total 15" xfId="613"/>
    <cellStyle name="Total 2" xfId="614"/>
    <cellStyle name="Total 3" xfId="615"/>
    <cellStyle name="Total 4" xfId="616"/>
    <cellStyle name="Total 5" xfId="617"/>
    <cellStyle name="Total 6" xfId="618"/>
    <cellStyle name="Total 7" xfId="619"/>
    <cellStyle name="Total 8" xfId="620"/>
    <cellStyle name="Total 9" xfId="621"/>
    <cellStyle name="Warning Text" xfId="622"/>
    <cellStyle name="Warning Text 10" xfId="623"/>
    <cellStyle name="Warning Text 11" xfId="624"/>
    <cellStyle name="Warning Text 12" xfId="625"/>
    <cellStyle name="Warning Text 13" xfId="626"/>
    <cellStyle name="Warning Text 14" xfId="627"/>
    <cellStyle name="Warning Text 15" xfId="628"/>
    <cellStyle name="Warning Text 2" xfId="629"/>
    <cellStyle name="Warning Text 3" xfId="630"/>
    <cellStyle name="Warning Text 4" xfId="631"/>
    <cellStyle name="Warning Text 5" xfId="632"/>
    <cellStyle name="Warning Text 6" xfId="633"/>
    <cellStyle name="Warning Text 7" xfId="634"/>
    <cellStyle name="Warning Text 8" xfId="635"/>
    <cellStyle name="Warning Text 9" xfId="6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ou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Variables"/>
      <sheetName val="B-Space 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5" max="5" width="11.421875" style="0" customWidth="1"/>
    <col min="7" max="7" width="11.57421875" style="0" customWidth="1"/>
  </cols>
  <sheetData>
    <row r="1" spans="1:9" ht="30.75">
      <c r="A1" s="129" t="s">
        <v>12</v>
      </c>
      <c r="B1" s="129"/>
      <c r="C1" s="129"/>
      <c r="D1" s="129"/>
      <c r="E1" s="129"/>
      <c r="F1" s="129"/>
      <c r="G1" s="129"/>
      <c r="H1" s="1"/>
      <c r="I1" s="1"/>
    </row>
    <row r="2" spans="1:9" ht="29.25" customHeight="1">
      <c r="A2" s="129" t="s">
        <v>127</v>
      </c>
      <c r="B2" s="129"/>
      <c r="C2" s="129"/>
      <c r="D2" s="129"/>
      <c r="E2" s="129"/>
      <c r="F2" s="129"/>
      <c r="G2" s="129"/>
      <c r="H2" s="1"/>
      <c r="I2" s="1"/>
    </row>
    <row r="3" spans="1:9" ht="19.5">
      <c r="A3" s="128" t="s">
        <v>46</v>
      </c>
      <c r="B3" s="128"/>
      <c r="C3" s="128"/>
      <c r="D3" s="128"/>
      <c r="E3" s="128"/>
      <c r="F3" s="128"/>
      <c r="G3" s="128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0" t="s">
        <v>6</v>
      </c>
      <c r="B5" s="11"/>
      <c r="C5" s="11"/>
      <c r="D5" s="11"/>
      <c r="E5" s="11"/>
      <c r="F5" s="12" t="s">
        <v>42</v>
      </c>
      <c r="G5" s="117" t="s">
        <v>43</v>
      </c>
      <c r="H5" s="1"/>
      <c r="I5" s="1"/>
    </row>
    <row r="6" spans="1:9" ht="12.75">
      <c r="A6" s="3"/>
      <c r="B6" s="3"/>
      <c r="C6" s="3"/>
      <c r="D6" s="3"/>
      <c r="E6" s="3"/>
      <c r="F6" s="3"/>
      <c r="G6" s="3"/>
      <c r="H6" s="1"/>
      <c r="I6" s="1"/>
    </row>
    <row r="7" spans="1:9" ht="12.75">
      <c r="A7" s="18" t="s">
        <v>11</v>
      </c>
      <c r="B7" s="3"/>
      <c r="C7" s="3"/>
      <c r="D7" s="3"/>
      <c r="E7" s="3"/>
      <c r="F7" s="3"/>
      <c r="G7" s="3"/>
      <c r="H7" s="1"/>
      <c r="I7" s="1"/>
    </row>
    <row r="8" spans="1:9" ht="12.75">
      <c r="A8" s="7"/>
      <c r="B8" s="3" t="s">
        <v>80</v>
      </c>
      <c r="C8" s="3"/>
      <c r="D8" s="3"/>
      <c r="E8" s="3"/>
      <c r="F8" s="19">
        <v>0</v>
      </c>
      <c r="G8" s="19">
        <v>0</v>
      </c>
      <c r="H8" s="9"/>
      <c r="I8" s="1"/>
    </row>
    <row r="9" spans="1:9" ht="12.75">
      <c r="A9" s="7"/>
      <c r="B9" s="3" t="s">
        <v>83</v>
      </c>
      <c r="C9" s="4"/>
      <c r="D9" s="3"/>
      <c r="E9" s="3"/>
      <c r="F9" s="19">
        <v>0</v>
      </c>
      <c r="G9" s="19">
        <v>0</v>
      </c>
      <c r="H9" s="9"/>
      <c r="I9" s="1"/>
    </row>
    <row r="10" spans="1:9" ht="12.75">
      <c r="A10" s="7"/>
      <c r="B10" s="3" t="s">
        <v>115</v>
      </c>
      <c r="C10" s="3"/>
      <c r="D10" s="3"/>
      <c r="E10" s="3"/>
      <c r="F10" s="19">
        <v>0</v>
      </c>
      <c r="G10" s="19">
        <v>0</v>
      </c>
      <c r="H10" s="9"/>
      <c r="I10" s="1"/>
    </row>
    <row r="11" spans="1:9" ht="12.75">
      <c r="A11" s="7"/>
      <c r="B11" s="3" t="s">
        <v>116</v>
      </c>
      <c r="C11" s="4"/>
      <c r="D11" s="3"/>
      <c r="E11" s="3"/>
      <c r="F11" s="19">
        <v>0</v>
      </c>
      <c r="G11" s="19">
        <v>0</v>
      </c>
      <c r="H11" s="9"/>
      <c r="I11" s="1"/>
    </row>
    <row r="12" spans="1:12" ht="12.75">
      <c r="A12" s="7"/>
      <c r="B12" s="3"/>
      <c r="C12" s="4"/>
      <c r="D12" s="3"/>
      <c r="E12" s="3"/>
      <c r="F12" s="14"/>
      <c r="G12" s="14"/>
      <c r="H12" s="9"/>
      <c r="I12" s="17"/>
      <c r="J12" s="17"/>
      <c r="K12" s="17"/>
      <c r="L12" s="17"/>
    </row>
    <row r="13" spans="1:9" ht="12.75">
      <c r="A13" s="8" t="s">
        <v>7</v>
      </c>
      <c r="B13" s="7"/>
      <c r="C13" s="3"/>
      <c r="D13" s="3"/>
      <c r="E13" s="3"/>
      <c r="F13" s="5"/>
      <c r="G13" s="3"/>
      <c r="H13" s="1"/>
      <c r="I13" s="1"/>
    </row>
    <row r="14" spans="2:12" ht="12.75">
      <c r="B14" s="116" t="s">
        <v>121</v>
      </c>
      <c r="D14" s="3"/>
      <c r="E14" s="3"/>
      <c r="F14" s="16">
        <v>0.03</v>
      </c>
      <c r="G14" s="16">
        <v>0.03</v>
      </c>
      <c r="H14" s="3"/>
      <c r="I14" s="3"/>
      <c r="L14" s="1"/>
    </row>
    <row r="15" spans="1:9" ht="12.75">
      <c r="A15" s="3"/>
      <c r="B15" s="116" t="s">
        <v>122</v>
      </c>
      <c r="F15" s="16">
        <v>0.03</v>
      </c>
      <c r="G15" s="16">
        <v>0.03</v>
      </c>
      <c r="H15" s="3"/>
      <c r="I15" s="3"/>
    </row>
    <row r="16" spans="1:9" ht="12.75">
      <c r="A16" s="3"/>
      <c r="B16" s="7" t="s">
        <v>114</v>
      </c>
      <c r="C16" s="3"/>
      <c r="D16" s="3"/>
      <c r="E16" s="3"/>
      <c r="F16" s="16">
        <v>0.03</v>
      </c>
      <c r="G16" s="16">
        <v>0.03</v>
      </c>
      <c r="H16" s="1"/>
      <c r="I16" s="1"/>
    </row>
    <row r="17" spans="1:9" ht="12.75">
      <c r="A17" s="3"/>
      <c r="B17" s="116" t="s">
        <v>113</v>
      </c>
      <c r="C17" s="3"/>
      <c r="D17" s="3"/>
      <c r="E17" s="3"/>
      <c r="F17" s="16">
        <v>0.03</v>
      </c>
      <c r="G17" s="16">
        <v>0.03</v>
      </c>
      <c r="H17" s="1"/>
      <c r="I17" s="1"/>
    </row>
    <row r="18" spans="1:9" ht="12.75">
      <c r="A18" s="3"/>
      <c r="B18" s="7" t="s">
        <v>112</v>
      </c>
      <c r="C18" s="3"/>
      <c r="D18" s="3"/>
      <c r="E18" s="3"/>
      <c r="F18" s="16">
        <v>0</v>
      </c>
      <c r="G18" s="16" t="s">
        <v>0</v>
      </c>
      <c r="H18" s="1"/>
      <c r="I18" s="1"/>
    </row>
    <row r="19" spans="1:9" ht="12.75" hidden="1">
      <c r="A19" s="3"/>
      <c r="B19" t="s">
        <v>119</v>
      </c>
      <c r="C19" s="3"/>
      <c r="D19" s="3"/>
      <c r="E19" s="1"/>
      <c r="F19" s="65">
        <v>0.03</v>
      </c>
      <c r="G19" s="65">
        <v>0.03</v>
      </c>
      <c r="H19" s="1"/>
      <c r="I19" s="1"/>
    </row>
    <row r="20" spans="1:9" ht="12.75">
      <c r="A20" s="3"/>
      <c r="B20" s="7" t="s">
        <v>82</v>
      </c>
      <c r="C20" s="3"/>
      <c r="D20" s="3"/>
      <c r="E20" s="1"/>
      <c r="F20" s="16">
        <v>0.01</v>
      </c>
      <c r="G20" s="16">
        <v>0</v>
      </c>
      <c r="H20" s="1"/>
      <c r="I20" s="1"/>
    </row>
    <row r="21" spans="2:12" ht="12.75">
      <c r="B21" s="7" t="s">
        <v>131</v>
      </c>
      <c r="D21" s="3"/>
      <c r="E21" s="3"/>
      <c r="F21" s="16">
        <v>0</v>
      </c>
      <c r="G21" s="16">
        <v>0</v>
      </c>
      <c r="H21" s="16"/>
      <c r="I21" s="16"/>
      <c r="J21" s="16"/>
      <c r="K21" s="16"/>
      <c r="L21" s="1"/>
    </row>
    <row r="22" spans="1:9" ht="12.75">
      <c r="A22" s="3"/>
      <c r="B22" t="s">
        <v>47</v>
      </c>
      <c r="C22" s="3"/>
      <c r="D22" s="3"/>
      <c r="E22" s="3"/>
      <c r="F22" s="23">
        <v>0.12609943245398209</v>
      </c>
      <c r="G22" s="122">
        <v>0.12346059755348363</v>
      </c>
      <c r="H22" s="1"/>
      <c r="I22" s="1"/>
    </row>
    <row r="23" spans="1:9" ht="12.75">
      <c r="A23" s="3"/>
      <c r="B23" t="s">
        <v>48</v>
      </c>
      <c r="C23" s="3"/>
      <c r="D23" s="3"/>
      <c r="E23" s="3"/>
      <c r="F23" s="23">
        <v>0.30045710497779365</v>
      </c>
      <c r="G23" s="122">
        <v>0.2746971775079863</v>
      </c>
      <c r="H23" s="1"/>
      <c r="I23" s="1"/>
    </row>
    <row r="24" spans="1:7" ht="12.75">
      <c r="A24" s="3"/>
      <c r="B24" s="73" t="s">
        <v>117</v>
      </c>
      <c r="C24" s="3"/>
      <c r="D24" s="3"/>
      <c r="E24" s="3"/>
      <c r="F24" s="119">
        <v>0</v>
      </c>
      <c r="G24" s="123">
        <v>9.066832529256402E-05</v>
      </c>
    </row>
    <row r="25" spans="1:11" ht="12.75">
      <c r="A25" s="3"/>
      <c r="B25" s="73" t="s">
        <v>118</v>
      </c>
      <c r="D25" s="3"/>
      <c r="E25" s="3"/>
      <c r="F25" s="23">
        <v>0</v>
      </c>
      <c r="G25" s="120">
        <v>0.005</v>
      </c>
      <c r="H25" s="1"/>
      <c r="I25" s="1"/>
      <c r="J25" s="121"/>
      <c r="K25" s="119"/>
    </row>
    <row r="26" spans="1:7" ht="12.75">
      <c r="A26" s="3"/>
      <c r="B26" t="s">
        <v>120</v>
      </c>
      <c r="C26" s="3"/>
      <c r="D26" s="3"/>
      <c r="E26" s="3"/>
      <c r="F26" s="119">
        <v>0</v>
      </c>
      <c r="G26" s="122">
        <v>0.021760398070215365</v>
      </c>
    </row>
    <row r="27" spans="1:7" ht="12.75">
      <c r="A27" s="3"/>
      <c r="B27" s="73" t="s">
        <v>110</v>
      </c>
      <c r="C27" s="3"/>
      <c r="D27" s="3"/>
      <c r="E27" s="3"/>
      <c r="F27" s="119">
        <v>0</v>
      </c>
      <c r="G27" s="122">
        <v>0.0044470223032422864</v>
      </c>
    </row>
    <row r="28" spans="1:9" ht="12.75">
      <c r="A28" s="7"/>
      <c r="C28" s="3"/>
      <c r="D28" s="3"/>
      <c r="E28" s="3"/>
      <c r="F28" s="31"/>
      <c r="G28" s="31"/>
      <c r="H28" s="1"/>
      <c r="I28" s="1"/>
    </row>
    <row r="29" spans="1:9" ht="12.75">
      <c r="A29" s="18" t="s">
        <v>99</v>
      </c>
      <c r="C29" s="3"/>
      <c r="D29" s="3"/>
      <c r="E29" s="3"/>
      <c r="F29" s="105"/>
      <c r="G29" s="105"/>
      <c r="I29" s="1"/>
    </row>
    <row r="30" spans="1:9" ht="12.75">
      <c r="A30" s="7"/>
      <c r="B30" s="106" t="s">
        <v>100</v>
      </c>
      <c r="C30" s="3"/>
      <c r="D30" s="3"/>
      <c r="E30" s="3"/>
      <c r="F30" s="107">
        <v>0.14</v>
      </c>
      <c r="G30" s="108">
        <v>0.14</v>
      </c>
      <c r="I30" s="1"/>
    </row>
    <row r="31" spans="2:7" ht="12.75">
      <c r="B31" s="106" t="s">
        <v>101</v>
      </c>
      <c r="F31" s="109">
        <v>0.004</v>
      </c>
      <c r="G31" s="109">
        <v>0.004</v>
      </c>
    </row>
    <row r="32" spans="2:7" ht="12.75">
      <c r="B32" s="106" t="s">
        <v>102</v>
      </c>
      <c r="F32" s="110">
        <v>0.0145</v>
      </c>
      <c r="G32" s="110">
        <v>0.0145</v>
      </c>
    </row>
    <row r="33" spans="2:7" ht="12.75">
      <c r="B33" s="106" t="s">
        <v>103</v>
      </c>
      <c r="F33" s="109">
        <f>SUM(F30:F32)</f>
        <v>0.15850000000000003</v>
      </c>
      <c r="G33" s="109">
        <f>SUM(G30:G32)</f>
        <v>0.15850000000000003</v>
      </c>
    </row>
    <row r="35" spans="2:7" ht="12.75">
      <c r="B35" t="s">
        <v>104</v>
      </c>
      <c r="F35" s="111">
        <f>ROUND(7956,0)</f>
        <v>7956</v>
      </c>
      <c r="G35" s="111">
        <v>8378</v>
      </c>
    </row>
    <row r="37" ht="12.75">
      <c r="B37" t="s">
        <v>105</v>
      </c>
    </row>
    <row r="38" spans="2:7" ht="12.75">
      <c r="B38" t="s">
        <v>106</v>
      </c>
      <c r="F38">
        <f>0.16*12</f>
        <v>1.92</v>
      </c>
      <c r="G38">
        <f>+F38</f>
        <v>1.92</v>
      </c>
    </row>
    <row r="40" spans="2:7" ht="12.75">
      <c r="B40" t="s">
        <v>107</v>
      </c>
      <c r="F40">
        <f>3.5*12</f>
        <v>42</v>
      </c>
      <c r="G40">
        <f>+F40</f>
        <v>42</v>
      </c>
    </row>
    <row r="42" ht="12.75">
      <c r="B42" t="s">
        <v>108</v>
      </c>
    </row>
    <row r="43" spans="2:7" ht="12.75">
      <c r="B43" t="s">
        <v>109</v>
      </c>
      <c r="F43" s="59">
        <v>0.0885</v>
      </c>
      <c r="G43" s="59">
        <v>0.0885</v>
      </c>
    </row>
    <row r="44" spans="1:9" ht="12.75">
      <c r="A44" s="7"/>
      <c r="C44" s="3"/>
      <c r="D44" s="3"/>
      <c r="E44" s="3"/>
      <c r="F44" s="31"/>
      <c r="G44" s="31"/>
      <c r="H44" s="1"/>
      <c r="I44" s="1"/>
    </row>
    <row r="45" spans="2:12" ht="12.75">
      <c r="B45" s="18" t="s">
        <v>123</v>
      </c>
      <c r="C45" s="3"/>
      <c r="D45" s="3"/>
      <c r="E45" s="3"/>
      <c r="F45" s="3"/>
      <c r="G45" s="3"/>
      <c r="H45" s="3"/>
      <c r="I45" s="3"/>
      <c r="J45" s="20"/>
      <c r="K45" s="3"/>
      <c r="L45" s="1"/>
    </row>
    <row r="46" spans="3:7" ht="12.75">
      <c r="C46" s="73" t="s">
        <v>124</v>
      </c>
      <c r="G46" s="15">
        <v>1343</v>
      </c>
    </row>
    <row r="47" ht="12.75">
      <c r="C47" s="73" t="s">
        <v>125</v>
      </c>
    </row>
    <row r="48" spans="1:9" ht="12.75">
      <c r="A48" s="7"/>
      <c r="B48" s="3"/>
      <c r="C48" s="3"/>
      <c r="D48" s="124" t="s">
        <v>129</v>
      </c>
      <c r="E48" s="3"/>
      <c r="F48" s="20"/>
      <c r="G48" s="125">
        <v>10</v>
      </c>
      <c r="H48" s="1"/>
      <c r="I48" s="1"/>
    </row>
    <row r="49" spans="4:7" ht="12.75">
      <c r="D49" s="124" t="s">
        <v>130</v>
      </c>
      <c r="G49" s="126">
        <v>1</v>
      </c>
    </row>
    <row r="50" spans="4:7" ht="13.5" thickBot="1">
      <c r="D50" s="73" t="s">
        <v>126</v>
      </c>
      <c r="G50" s="127">
        <f>SUM(G48:G49)</f>
        <v>11</v>
      </c>
    </row>
    <row r="51" ht="13.5" thickTop="1"/>
  </sheetData>
  <sheetProtection/>
  <mergeCells count="3">
    <mergeCell ref="A3:G3"/>
    <mergeCell ref="A1:G1"/>
    <mergeCell ref="A2:G2"/>
  </mergeCells>
  <printOptions horizontalCentered="1"/>
  <pageMargins left="0" right="0" top="1" bottom="0.5" header="0.5" footer="0.5"/>
  <pageSetup horizontalDpi="300" verticalDpi="300" orientation="portrait" r:id="rId1"/>
  <headerFooter alignWithMargins="0">
    <oddHeader>&amp;R&amp;"Arial,Bold"&amp;14DRAFT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0" style="0" hidden="1" customWidth="1"/>
    <col min="2" max="2" width="28.421875" style="0" customWidth="1"/>
    <col min="3" max="3" width="11.57421875" style="0" customWidth="1"/>
    <col min="4" max="4" width="11.28125" style="0" bestFit="1" customWidth="1"/>
    <col min="5" max="5" width="11.28125" style="83" customWidth="1"/>
    <col min="6" max="6" width="1.7109375" style="0" customWidth="1"/>
    <col min="7" max="8" width="12.28125" style="0" bestFit="1" customWidth="1"/>
    <col min="9" max="9" width="13.421875" style="0" bestFit="1" customWidth="1"/>
    <col min="10" max="10" width="10.57421875" style="0" bestFit="1" customWidth="1"/>
    <col min="11" max="11" width="10.57421875" style="0" customWidth="1"/>
    <col min="13" max="13" width="9.7109375" style="0" bestFit="1" customWidth="1"/>
  </cols>
  <sheetData>
    <row r="1" ht="12.75">
      <c r="B1" s="2" t="s">
        <v>127</v>
      </c>
    </row>
    <row r="2" ht="12.75">
      <c r="B2" s="2"/>
    </row>
    <row r="3" ht="12.75">
      <c r="B3" s="2" t="s">
        <v>57</v>
      </c>
    </row>
    <row r="4" spans="3:9" ht="12.75">
      <c r="C4" s="2"/>
      <c r="D4" s="2"/>
      <c r="E4" s="84"/>
      <c r="F4" s="37"/>
      <c r="G4" s="6"/>
      <c r="H4" s="6" t="s">
        <v>42</v>
      </c>
      <c r="I4" s="6" t="s">
        <v>65</v>
      </c>
    </row>
    <row r="5" spans="3:10" ht="12.75">
      <c r="C5" s="6" t="s">
        <v>50</v>
      </c>
      <c r="D5" s="6" t="s">
        <v>23</v>
      </c>
      <c r="E5" s="84" t="s">
        <v>52</v>
      </c>
      <c r="F5" s="38"/>
      <c r="G5" s="6" t="s">
        <v>42</v>
      </c>
      <c r="H5" s="6" t="s">
        <v>53</v>
      </c>
      <c r="I5" s="6" t="s">
        <v>74</v>
      </c>
      <c r="J5" s="6" t="s">
        <v>54</v>
      </c>
    </row>
    <row r="6" spans="3:11" ht="12.75">
      <c r="C6" s="24" t="s">
        <v>51</v>
      </c>
      <c r="D6" s="24" t="s">
        <v>51</v>
      </c>
      <c r="E6" s="85" t="s">
        <v>51</v>
      </c>
      <c r="F6" s="39"/>
      <c r="G6" s="24" t="s">
        <v>44</v>
      </c>
      <c r="H6" s="24" t="s">
        <v>44</v>
      </c>
      <c r="I6" s="24" t="s">
        <v>44</v>
      </c>
      <c r="J6" s="24" t="s">
        <v>55</v>
      </c>
      <c r="K6" s="24" t="s">
        <v>56</v>
      </c>
    </row>
    <row r="7" spans="2:6" ht="12.75">
      <c r="B7" s="21" t="s">
        <v>29</v>
      </c>
      <c r="F7" s="40"/>
    </row>
    <row r="8" spans="2:11" ht="12.75">
      <c r="B8" t="s">
        <v>87</v>
      </c>
      <c r="C8" s="25">
        <f>+C83</f>
        <v>4768768</v>
      </c>
      <c r="D8" s="25">
        <f>+D83</f>
        <v>5074479</v>
      </c>
      <c r="E8" s="70">
        <f>+E83</f>
        <v>3643400</v>
      </c>
      <c r="F8" s="41"/>
      <c r="G8" s="70">
        <f>+G83</f>
        <v>3823468</v>
      </c>
      <c r="H8" s="70">
        <f>+H83</f>
        <v>3896520</v>
      </c>
      <c r="I8" s="25">
        <f>+I80*(1+'A-Assumptions'!G8)+I81*(1+'A-Assumptions'!G10)+I82*(1+'A-Assumptions'!G10)</f>
        <v>3903727</v>
      </c>
      <c r="J8" s="25">
        <f>+I8-H8</f>
        <v>7207</v>
      </c>
      <c r="K8" s="97">
        <f>IF(H8=0," 0.0%",+J8/H8)</f>
        <v>0.0018495991294796383</v>
      </c>
    </row>
    <row r="9" spans="2:11" ht="12.75">
      <c r="B9" t="s">
        <v>86</v>
      </c>
      <c r="C9" s="25">
        <f>+C88</f>
        <v>604180</v>
      </c>
      <c r="D9" s="25">
        <f>+D88</f>
        <v>788403</v>
      </c>
      <c r="E9" s="70">
        <f>+E88</f>
        <v>2680761</v>
      </c>
      <c r="F9" s="41"/>
      <c r="G9" s="70">
        <f>+G88</f>
        <v>2965985</v>
      </c>
      <c r="H9" s="70">
        <f>+H88</f>
        <v>3038345</v>
      </c>
      <c r="I9" s="77">
        <f>+I85*(1+'A-Assumptions'!G9)+I86*(1+'A-Assumptions'!G11)+I87</f>
        <v>3149304</v>
      </c>
      <c r="J9" s="25">
        <f>+I9-H9</f>
        <v>110959</v>
      </c>
      <c r="K9" s="97">
        <f>IF(H9=0," 0.0%",+J9/H9)</f>
        <v>0.03651955258537131</v>
      </c>
    </row>
    <row r="10" spans="2:11" ht="12.75">
      <c r="B10" s="73" t="s">
        <v>88</v>
      </c>
      <c r="C10" s="25">
        <f>+C94</f>
        <v>472654</v>
      </c>
      <c r="D10" s="25">
        <f>+D94</f>
        <v>578622</v>
      </c>
      <c r="E10" s="70">
        <f>+E94</f>
        <v>592164</v>
      </c>
      <c r="F10" s="42"/>
      <c r="G10" s="70">
        <f>+G94</f>
        <v>320607</v>
      </c>
      <c r="H10" s="70">
        <f>+H94</f>
        <v>483614</v>
      </c>
      <c r="I10" s="77">
        <f>+I94</f>
        <v>515045</v>
      </c>
      <c r="J10" s="25">
        <f>+I10-H10</f>
        <v>31431</v>
      </c>
      <c r="K10" s="97">
        <f>IF(H10=0," 0.0%",+J10/H10)</f>
        <v>0.06499191503968041</v>
      </c>
    </row>
    <row r="11" spans="2:11" ht="12.75">
      <c r="B11" t="s">
        <v>40</v>
      </c>
      <c r="C11" s="27">
        <f>+C105</f>
        <v>0</v>
      </c>
      <c r="D11" s="27">
        <f>+D105</f>
        <v>0</v>
      </c>
      <c r="E11" s="86">
        <f>+E105</f>
        <v>84460.46</v>
      </c>
      <c r="F11" s="42"/>
      <c r="G11" s="86">
        <f>+G105</f>
        <v>20000</v>
      </c>
      <c r="H11" s="86">
        <f>+H105</f>
        <v>96801</v>
      </c>
      <c r="I11" s="27">
        <f>+I105</f>
        <v>60800</v>
      </c>
      <c r="J11" s="27">
        <f>+I11-H11</f>
        <v>-36001</v>
      </c>
      <c r="K11" s="98">
        <f>IF(H11=0," 0.0%",+J11/H11)</f>
        <v>-0.37190731500707636</v>
      </c>
    </row>
    <row r="12" spans="2:13" ht="12.75">
      <c r="B12" t="s">
        <v>41</v>
      </c>
      <c r="C12" s="25">
        <f>SUM(C8:C11)</f>
        <v>5845602</v>
      </c>
      <c r="D12" s="25">
        <f>SUM(D8:D11)</f>
        <v>6441504</v>
      </c>
      <c r="E12" s="70">
        <f>SUM(E8:E11)</f>
        <v>7000785.46</v>
      </c>
      <c r="F12" s="42"/>
      <c r="G12" s="15">
        <f>SUM(G8:G11)</f>
        <v>7130060</v>
      </c>
      <c r="H12" s="15">
        <f>SUM(H8:H11)</f>
        <v>7515280</v>
      </c>
      <c r="I12" s="15">
        <f>SUM(I8:I11)</f>
        <v>7628876</v>
      </c>
      <c r="J12" s="15">
        <f>SUM(J8:J11)</f>
        <v>113596</v>
      </c>
      <c r="K12" s="97">
        <f>IF(H12=0," 0.0%",+J12/H12)</f>
        <v>0.015115338350666908</v>
      </c>
      <c r="M12" s="15"/>
    </row>
    <row r="13" spans="3:9" ht="12.75">
      <c r="C13" s="25"/>
      <c r="D13" s="25"/>
      <c r="E13" s="25"/>
      <c r="F13" s="67"/>
      <c r="G13" s="29"/>
      <c r="H13" s="29"/>
      <c r="I13" s="25" t="e">
        <f>+I12-I11+#REF!</f>
        <v>#REF!</v>
      </c>
    </row>
    <row r="14" spans="2:9" ht="12.75">
      <c r="B14" s="22" t="s">
        <v>30</v>
      </c>
      <c r="C14" s="25"/>
      <c r="D14" s="30"/>
      <c r="E14" s="70"/>
      <c r="F14" s="68"/>
      <c r="G14" s="15"/>
      <c r="H14" s="15"/>
      <c r="I14" s="15"/>
    </row>
    <row r="15" spans="1:11" ht="12.75">
      <c r="A15" t="s">
        <v>111</v>
      </c>
      <c r="B15" t="s">
        <v>24</v>
      </c>
      <c r="C15" s="25">
        <v>250000</v>
      </c>
      <c r="D15" s="25">
        <v>200000</v>
      </c>
      <c r="E15" s="70">
        <v>300000</v>
      </c>
      <c r="F15" s="42"/>
      <c r="G15" s="25">
        <v>300000</v>
      </c>
      <c r="H15" s="25">
        <v>410000</v>
      </c>
      <c r="I15" s="25">
        <v>400000</v>
      </c>
      <c r="J15" s="32">
        <f>+I15-H15</f>
        <v>-10000</v>
      </c>
      <c r="K15" s="97">
        <f aca="true" t="shared" si="0" ref="K15:K24">IF(H15=0," 0.0%",+J15/H15)</f>
        <v>-0.024390243902439025</v>
      </c>
    </row>
    <row r="16" spans="1:11" ht="12.75">
      <c r="A16" t="s">
        <v>111</v>
      </c>
      <c r="B16" t="s">
        <v>25</v>
      </c>
      <c r="C16" s="25">
        <v>114000</v>
      </c>
      <c r="D16" s="25">
        <v>120000</v>
      </c>
      <c r="E16" s="70">
        <v>125000</v>
      </c>
      <c r="F16" s="42"/>
      <c r="G16" s="25">
        <v>120000</v>
      </c>
      <c r="H16" s="25">
        <v>150000</v>
      </c>
      <c r="I16" s="25">
        <v>230000</v>
      </c>
      <c r="J16" s="32">
        <f aca="true" t="shared" si="1" ref="J16:J23">+I16-H16</f>
        <v>80000</v>
      </c>
      <c r="K16" s="97">
        <f t="shared" si="0"/>
        <v>0.5333333333333333</v>
      </c>
    </row>
    <row r="17" spans="2:11" ht="12.75">
      <c r="B17" t="s">
        <v>26</v>
      </c>
      <c r="C17" s="25">
        <v>1400000</v>
      </c>
      <c r="D17" s="25">
        <v>1500000</v>
      </c>
      <c r="E17" s="70">
        <v>1550000</v>
      </c>
      <c r="F17" s="42"/>
      <c r="G17" s="25">
        <v>1500000</v>
      </c>
      <c r="H17" s="25">
        <v>1900000</v>
      </c>
      <c r="I17" s="25">
        <v>1750000</v>
      </c>
      <c r="J17" s="32">
        <f t="shared" si="1"/>
        <v>-150000</v>
      </c>
      <c r="K17" s="97">
        <f t="shared" si="0"/>
        <v>-0.07894736842105263</v>
      </c>
    </row>
    <row r="18" spans="2:11" ht="12.75">
      <c r="B18" t="s">
        <v>27</v>
      </c>
      <c r="C18" s="25">
        <v>102496.34999999999</v>
      </c>
      <c r="D18" s="25">
        <v>90681.55</v>
      </c>
      <c r="E18" s="70">
        <v>110202</v>
      </c>
      <c r="F18" s="42"/>
      <c r="G18" s="25">
        <v>53602</v>
      </c>
      <c r="H18" s="25">
        <v>155892</v>
      </c>
      <c r="I18" s="25">
        <v>198000</v>
      </c>
      <c r="J18" s="32">
        <f t="shared" si="1"/>
        <v>42108</v>
      </c>
      <c r="K18" s="97">
        <f t="shared" si="0"/>
        <v>0.2701100762066046</v>
      </c>
    </row>
    <row r="19" spans="2:11" ht="12.75">
      <c r="B19" t="s">
        <v>66</v>
      </c>
      <c r="C19" s="25">
        <v>12000</v>
      </c>
      <c r="D19" s="25">
        <v>30499.8</v>
      </c>
      <c r="E19" s="70">
        <v>16000</v>
      </c>
      <c r="F19" s="42"/>
      <c r="G19" s="25">
        <v>57432</v>
      </c>
      <c r="H19" s="25">
        <v>6519</v>
      </c>
      <c r="I19" s="25">
        <v>16519</v>
      </c>
      <c r="J19" s="32">
        <f t="shared" si="1"/>
        <v>10000</v>
      </c>
      <c r="K19" s="97">
        <f t="shared" si="0"/>
        <v>1.5339776039269826</v>
      </c>
    </row>
    <row r="20" spans="2:11" ht="12.75">
      <c r="B20" t="s">
        <v>68</v>
      </c>
      <c r="C20" s="25">
        <v>7999.96</v>
      </c>
      <c r="D20" s="25">
        <v>0</v>
      </c>
      <c r="E20" s="70">
        <v>9500</v>
      </c>
      <c r="F20" s="42"/>
      <c r="G20" s="25">
        <v>0</v>
      </c>
      <c r="H20" s="80">
        <v>14123</v>
      </c>
      <c r="I20" s="80">
        <v>15000</v>
      </c>
      <c r="J20" s="32">
        <f t="shared" si="1"/>
        <v>877</v>
      </c>
      <c r="K20" s="97">
        <f t="shared" si="0"/>
        <v>0.06209728811159102</v>
      </c>
    </row>
    <row r="21" spans="2:11" ht="12.75">
      <c r="B21" t="s">
        <v>28</v>
      </c>
      <c r="C21" s="25">
        <v>7178.99</v>
      </c>
      <c r="D21" s="25">
        <v>14538.98</v>
      </c>
      <c r="E21" s="70">
        <v>27078.03</v>
      </c>
      <c r="F21" s="42"/>
      <c r="G21" s="25">
        <v>5400</v>
      </c>
      <c r="H21" s="25">
        <v>29504</v>
      </c>
      <c r="I21" s="25">
        <v>35000</v>
      </c>
      <c r="J21" s="32">
        <f t="shared" si="1"/>
        <v>5496</v>
      </c>
      <c r="K21" s="97">
        <f t="shared" si="0"/>
        <v>0.18627982646420824</v>
      </c>
    </row>
    <row r="22" spans="2:11" ht="12.75">
      <c r="B22" t="s">
        <v>31</v>
      </c>
      <c r="C22" s="25">
        <v>9894.77</v>
      </c>
      <c r="D22" s="25">
        <v>8185.48</v>
      </c>
      <c r="E22" s="70">
        <v>0</v>
      </c>
      <c r="F22" s="42"/>
      <c r="G22" s="25">
        <v>2300</v>
      </c>
      <c r="H22" s="25">
        <v>9800</v>
      </c>
      <c r="I22" s="25">
        <v>10000</v>
      </c>
      <c r="J22" s="32">
        <f t="shared" si="1"/>
        <v>200</v>
      </c>
      <c r="K22" s="97">
        <f t="shared" si="0"/>
        <v>0.02040816326530612</v>
      </c>
    </row>
    <row r="23" spans="2:11" ht="12.75">
      <c r="B23" t="s">
        <v>64</v>
      </c>
      <c r="C23" s="27">
        <v>0</v>
      </c>
      <c r="D23" s="27">
        <v>0</v>
      </c>
      <c r="E23" s="86">
        <v>0</v>
      </c>
      <c r="F23" s="42"/>
      <c r="G23" s="72">
        <v>50712.179099999994</v>
      </c>
      <c r="H23" s="27">
        <v>0</v>
      </c>
      <c r="I23" s="72">
        <v>76890.682654</v>
      </c>
      <c r="J23" s="33">
        <f t="shared" si="1"/>
        <v>76890.682654</v>
      </c>
      <c r="K23" s="98" t="str">
        <f t="shared" si="0"/>
        <v> 0.0%</v>
      </c>
    </row>
    <row r="24" spans="2:12" ht="12.75">
      <c r="B24" t="s">
        <v>36</v>
      </c>
      <c r="C24" s="25">
        <f>SUM(C15:C23)</f>
        <v>1903570.07</v>
      </c>
      <c r="D24" s="25">
        <f>SUM(D15:D23)</f>
        <v>1963905.81</v>
      </c>
      <c r="E24" s="70">
        <f>SUM(E15:E23)</f>
        <v>2137780.03</v>
      </c>
      <c r="F24" s="42"/>
      <c r="G24" s="15">
        <f>SUM(G15:G23)</f>
        <v>2089446.1791</v>
      </c>
      <c r="H24" s="15">
        <f>SUM(H15:H23)</f>
        <v>2675838</v>
      </c>
      <c r="I24" s="15">
        <f>SUM(I15:I23)</f>
        <v>2731409.682654</v>
      </c>
      <c r="J24" s="15">
        <f>SUM(J15:J23)</f>
        <v>55571.682654000004</v>
      </c>
      <c r="K24" s="97">
        <f t="shared" si="0"/>
        <v>0.020767954806681123</v>
      </c>
      <c r="L24" s="15"/>
    </row>
    <row r="25" spans="3:12" ht="12.75">
      <c r="C25" s="70"/>
      <c r="D25" s="70"/>
      <c r="E25" s="70"/>
      <c r="F25" s="42"/>
      <c r="G25" s="70"/>
      <c r="H25" s="70"/>
      <c r="I25" s="70"/>
      <c r="L25" s="15"/>
    </row>
    <row r="26" spans="2:9" ht="12.75">
      <c r="B26" s="22" t="s">
        <v>32</v>
      </c>
      <c r="C26" s="101"/>
      <c r="D26" s="101"/>
      <c r="E26" s="101"/>
      <c r="F26" s="42"/>
      <c r="G26" s="101"/>
      <c r="H26" s="101"/>
      <c r="I26" s="101"/>
    </row>
    <row r="27" spans="2:11" ht="12.75">
      <c r="B27" t="s">
        <v>33</v>
      </c>
      <c r="C27" s="25">
        <v>456683.4</v>
      </c>
      <c r="D27" s="25">
        <v>491152.11</v>
      </c>
      <c r="E27" s="70">
        <v>494464.08999999997</v>
      </c>
      <c r="F27" s="42"/>
      <c r="G27" s="71">
        <v>564566.50131235</v>
      </c>
      <c r="H27" s="71">
        <v>705077.49873085</v>
      </c>
      <c r="I27" s="71">
        <v>722590.4948559591</v>
      </c>
      <c r="J27" s="32">
        <f>+I27-H27</f>
        <v>17512.996125109028</v>
      </c>
      <c r="K27" s="97">
        <f>IF(H27=0," 0.0%",+J27/H27)</f>
        <v>0.0248383988379046</v>
      </c>
    </row>
    <row r="28" spans="2:11" ht="12.75">
      <c r="B28" t="s">
        <v>119</v>
      </c>
      <c r="C28" s="25">
        <v>42636.15</v>
      </c>
      <c r="D28" s="25">
        <v>53571.8</v>
      </c>
      <c r="E28" s="70">
        <v>54756</v>
      </c>
      <c r="F28" s="42"/>
      <c r="G28" s="71">
        <v>58489.024473</v>
      </c>
      <c r="H28" s="71">
        <v>72801.37530299998</v>
      </c>
      <c r="I28" s="71">
        <v>0</v>
      </c>
      <c r="J28" s="32">
        <f>+I28-H28</f>
        <v>-72801.37530299998</v>
      </c>
      <c r="K28" s="97">
        <f>IF(H28=0," 0.0%",+J28/H28)</f>
        <v>-1</v>
      </c>
    </row>
    <row r="29" spans="2:11" ht="12.75">
      <c r="B29" t="s">
        <v>67</v>
      </c>
      <c r="C29" s="25">
        <v>103008</v>
      </c>
      <c r="D29" s="25">
        <v>112966</v>
      </c>
      <c r="E29" s="70">
        <v>102122</v>
      </c>
      <c r="F29" s="42"/>
      <c r="G29" s="25">
        <v>62776</v>
      </c>
      <c r="H29" s="76">
        <v>111370</v>
      </c>
      <c r="I29" s="76">
        <v>120000</v>
      </c>
      <c r="J29" s="32">
        <f>+I29-H29</f>
        <v>8630</v>
      </c>
      <c r="K29" s="97">
        <f>IF(H29=0," 0.0%",+J29/H29)</f>
        <v>0.07748944958247284</v>
      </c>
    </row>
    <row r="30" spans="2:11" ht="12.75">
      <c r="B30" t="s">
        <v>34</v>
      </c>
      <c r="C30" s="27">
        <v>0</v>
      </c>
      <c r="D30" s="27">
        <v>0</v>
      </c>
      <c r="E30" s="86">
        <v>0</v>
      </c>
      <c r="F30" s="42"/>
      <c r="G30" s="27">
        <v>0</v>
      </c>
      <c r="H30" s="27">
        <v>0</v>
      </c>
      <c r="I30" s="27">
        <v>0</v>
      </c>
      <c r="J30" s="33">
        <f>+I30-H30</f>
        <v>0</v>
      </c>
      <c r="K30" s="98" t="str">
        <f>IF(H30=0," 0.0%",+J30/H30)</f>
        <v> 0.0%</v>
      </c>
    </row>
    <row r="31" spans="2:12" ht="12.75">
      <c r="B31" t="s">
        <v>35</v>
      </c>
      <c r="C31" s="25">
        <f>SUM(C27:C30)</f>
        <v>602327.55</v>
      </c>
      <c r="D31" s="25">
        <f>SUM(D27:D30)</f>
        <v>657689.91</v>
      </c>
      <c r="E31" s="70">
        <f>SUM(E27:E30)</f>
        <v>651342.09</v>
      </c>
      <c r="F31" s="42"/>
      <c r="G31" s="15">
        <f>SUM(G27:G30)</f>
        <v>685831.52578535</v>
      </c>
      <c r="H31" s="15">
        <f>SUM(H27:H30)</f>
        <v>889248.87403385</v>
      </c>
      <c r="I31" s="15">
        <f>SUM(I27:I30)</f>
        <v>842590.4948559591</v>
      </c>
      <c r="J31" s="15">
        <f>SUM(J27:J30)</f>
        <v>-46658.37917789095</v>
      </c>
      <c r="K31" s="97">
        <f>IF(H31=0," 0.0%",+J31/H31)</f>
        <v>-0.05246942733392188</v>
      </c>
      <c r="L31" s="15"/>
    </row>
    <row r="32" spans="3:12" ht="12.75">
      <c r="C32" s="25"/>
      <c r="D32" s="25"/>
      <c r="E32" s="70"/>
      <c r="F32" s="42"/>
      <c r="G32" s="25"/>
      <c r="H32" s="25"/>
      <c r="I32" s="25"/>
      <c r="L32" s="15"/>
    </row>
    <row r="33" spans="2:9" ht="12.75">
      <c r="B33" s="22" t="s">
        <v>22</v>
      </c>
      <c r="C33" s="25"/>
      <c r="D33" s="25"/>
      <c r="E33" s="70"/>
      <c r="F33" s="42"/>
      <c r="G33" s="25"/>
      <c r="H33" s="25"/>
      <c r="I33" s="25"/>
    </row>
    <row r="34" spans="1:11" ht="12.75">
      <c r="A34">
        <v>71010</v>
      </c>
      <c r="B34" t="s">
        <v>13</v>
      </c>
      <c r="C34" s="25">
        <v>25462.9</v>
      </c>
      <c r="D34" s="25">
        <v>20678.850000000002</v>
      </c>
      <c r="E34" s="70">
        <v>45508.35</v>
      </c>
      <c r="F34" s="42"/>
      <c r="G34" s="25">
        <v>1900</v>
      </c>
      <c r="H34" s="76">
        <v>19216</v>
      </c>
      <c r="I34" s="76">
        <v>30000</v>
      </c>
      <c r="J34" s="32">
        <f aca="true" t="shared" si="2" ref="J34:J48">+I34-H34</f>
        <v>10784</v>
      </c>
      <c r="K34" s="97">
        <f aca="true" t="shared" si="3" ref="K34:K49">IF(H34=0," 0.0%",+J34/H34)</f>
        <v>0.5611990008326395</v>
      </c>
    </row>
    <row r="35" spans="1:11" ht="12.75">
      <c r="A35">
        <v>71200</v>
      </c>
      <c r="B35" t="s">
        <v>14</v>
      </c>
      <c r="C35" s="25">
        <v>7013.51</v>
      </c>
      <c r="D35" s="25">
        <v>7003.55</v>
      </c>
      <c r="E35" s="70">
        <v>5235.12</v>
      </c>
      <c r="F35" s="42"/>
      <c r="G35" s="25">
        <v>1003</v>
      </c>
      <c r="H35" s="76">
        <v>3839</v>
      </c>
      <c r="I35" s="76">
        <v>6000</v>
      </c>
      <c r="J35" s="32">
        <f t="shared" si="2"/>
        <v>2161</v>
      </c>
      <c r="K35" s="97">
        <f t="shared" si="3"/>
        <v>0.5629070070330815</v>
      </c>
    </row>
    <row r="36" spans="1:11" ht="12.75">
      <c r="A36">
        <v>72010</v>
      </c>
      <c r="B36" t="s">
        <v>15</v>
      </c>
      <c r="C36" s="25">
        <v>10978.59</v>
      </c>
      <c r="D36" s="25">
        <v>18831.07</v>
      </c>
      <c r="E36" s="70">
        <v>15758.29</v>
      </c>
      <c r="F36" s="42"/>
      <c r="G36" s="25">
        <v>30195</v>
      </c>
      <c r="H36" s="76">
        <v>48518</v>
      </c>
      <c r="I36" s="76">
        <v>40000</v>
      </c>
      <c r="J36" s="32">
        <f t="shared" si="2"/>
        <v>-8518</v>
      </c>
      <c r="K36" s="97">
        <f t="shared" si="3"/>
        <v>-0.17556370831444001</v>
      </c>
    </row>
    <row r="37" spans="1:11" ht="12.75">
      <c r="A37">
        <v>73010</v>
      </c>
      <c r="B37" t="s">
        <v>16</v>
      </c>
      <c r="C37" s="25">
        <v>5891.44</v>
      </c>
      <c r="D37" s="25">
        <v>1750.99</v>
      </c>
      <c r="E37" s="70">
        <v>6478.62</v>
      </c>
      <c r="F37" s="42"/>
      <c r="G37" s="25">
        <v>1200</v>
      </c>
      <c r="H37" s="76">
        <v>7771</v>
      </c>
      <c r="I37" s="76">
        <v>8000</v>
      </c>
      <c r="J37" s="32">
        <f t="shared" si="2"/>
        <v>229</v>
      </c>
      <c r="K37" s="97">
        <f t="shared" si="3"/>
        <v>0.029468536867841975</v>
      </c>
    </row>
    <row r="38" spans="1:11" ht="12.75">
      <c r="A38">
        <v>73100</v>
      </c>
      <c r="B38" t="s">
        <v>9</v>
      </c>
      <c r="C38" s="25">
        <v>29822.390000000003</v>
      </c>
      <c r="D38" s="25">
        <v>32310.53</v>
      </c>
      <c r="E38" s="70">
        <v>30090.17</v>
      </c>
      <c r="F38" s="42"/>
      <c r="G38" s="25">
        <v>0</v>
      </c>
      <c r="H38" s="76">
        <v>23838</v>
      </c>
      <c r="I38" s="76">
        <v>35000</v>
      </c>
      <c r="J38" s="32">
        <f t="shared" si="2"/>
        <v>11162</v>
      </c>
      <c r="K38" s="97">
        <f t="shared" si="3"/>
        <v>0.46824398019968116</v>
      </c>
    </row>
    <row r="39" spans="1:11" ht="12.75">
      <c r="A39">
        <v>73300</v>
      </c>
      <c r="B39" t="s">
        <v>8</v>
      </c>
      <c r="C39" s="25">
        <v>4791.3</v>
      </c>
      <c r="D39" s="25">
        <v>3726.1</v>
      </c>
      <c r="E39" s="70">
        <v>5603.719999999999</v>
      </c>
      <c r="F39" s="42"/>
      <c r="G39" s="25">
        <v>3050</v>
      </c>
      <c r="H39" s="76">
        <v>9885</v>
      </c>
      <c r="I39" s="76">
        <v>15000</v>
      </c>
      <c r="J39" s="32">
        <f t="shared" si="2"/>
        <v>5115</v>
      </c>
      <c r="K39" s="97">
        <f t="shared" si="3"/>
        <v>0.5174506828528073</v>
      </c>
    </row>
    <row r="40" spans="1:11" ht="12.75">
      <c r="A40">
        <v>73400</v>
      </c>
      <c r="B40" t="s">
        <v>17</v>
      </c>
      <c r="C40" s="25">
        <v>11127.95</v>
      </c>
      <c r="D40" s="25">
        <v>9909.75</v>
      </c>
      <c r="E40" s="70">
        <v>11896.5</v>
      </c>
      <c r="F40" s="42"/>
      <c r="G40" s="25">
        <v>5300</v>
      </c>
      <c r="H40" s="76">
        <v>16667</v>
      </c>
      <c r="I40" s="76">
        <v>20000</v>
      </c>
      <c r="J40" s="32">
        <f t="shared" si="2"/>
        <v>3333</v>
      </c>
      <c r="K40" s="97">
        <f t="shared" si="3"/>
        <v>0.1999760004799904</v>
      </c>
    </row>
    <row r="41" spans="1:11" ht="12.75">
      <c r="A41">
        <v>74010</v>
      </c>
      <c r="B41" t="s">
        <v>18</v>
      </c>
      <c r="C41" s="25">
        <v>9502.39</v>
      </c>
      <c r="D41" s="25">
        <v>15170.23</v>
      </c>
      <c r="E41" s="70">
        <v>5126.57</v>
      </c>
      <c r="F41" s="42"/>
      <c r="G41" s="25">
        <v>11750</v>
      </c>
      <c r="H41" s="76">
        <v>19641</v>
      </c>
      <c r="I41" s="76">
        <v>22000</v>
      </c>
      <c r="J41" s="32">
        <f t="shared" si="2"/>
        <v>2359</v>
      </c>
      <c r="K41" s="97">
        <f t="shared" si="3"/>
        <v>0.12010590092154168</v>
      </c>
    </row>
    <row r="42" spans="1:11" ht="12.75">
      <c r="A42">
        <v>74100</v>
      </c>
      <c r="B42" t="s">
        <v>19</v>
      </c>
      <c r="C42" s="25">
        <v>1390.33</v>
      </c>
      <c r="D42" s="25">
        <v>1485.19</v>
      </c>
      <c r="E42" s="70">
        <v>1079.38</v>
      </c>
      <c r="F42" s="42"/>
      <c r="G42" s="25">
        <v>1700</v>
      </c>
      <c r="H42" s="76">
        <v>1119</v>
      </c>
      <c r="I42" s="76">
        <v>2000</v>
      </c>
      <c r="J42" s="32">
        <f t="shared" si="2"/>
        <v>881</v>
      </c>
      <c r="K42" s="97">
        <f t="shared" si="3"/>
        <v>0.7873100983020554</v>
      </c>
    </row>
    <row r="43" spans="1:11" ht="12.75">
      <c r="A43">
        <v>76010</v>
      </c>
      <c r="B43" t="s">
        <v>20</v>
      </c>
      <c r="C43" s="25">
        <v>0</v>
      </c>
      <c r="D43" s="25">
        <v>0</v>
      </c>
      <c r="E43" s="70">
        <v>0</v>
      </c>
      <c r="F43" s="42"/>
      <c r="G43" s="25">
        <v>0</v>
      </c>
      <c r="H43" s="76">
        <v>0</v>
      </c>
      <c r="I43" s="76">
        <v>0</v>
      </c>
      <c r="J43" s="32">
        <f t="shared" si="2"/>
        <v>0</v>
      </c>
      <c r="K43" s="97" t="str">
        <f t="shared" si="3"/>
        <v> 0.0%</v>
      </c>
    </row>
    <row r="44" spans="2:11" ht="12.75">
      <c r="B44" t="s">
        <v>21</v>
      </c>
      <c r="C44" s="25">
        <v>0</v>
      </c>
      <c r="D44" s="25">
        <v>0</v>
      </c>
      <c r="E44" s="70">
        <v>0</v>
      </c>
      <c r="F44" s="42"/>
      <c r="G44" s="25">
        <v>0</v>
      </c>
      <c r="H44" s="76">
        <v>0</v>
      </c>
      <c r="I44" s="76">
        <v>0</v>
      </c>
      <c r="J44" s="32">
        <f t="shared" si="2"/>
        <v>0</v>
      </c>
      <c r="K44" s="97" t="str">
        <f t="shared" si="3"/>
        <v> 0.0%</v>
      </c>
    </row>
    <row r="45" spans="1:11" ht="12.75">
      <c r="A45">
        <v>77010</v>
      </c>
      <c r="B45" t="s">
        <v>10</v>
      </c>
      <c r="C45" s="25">
        <v>14829.86</v>
      </c>
      <c r="D45" s="25">
        <v>1177.94</v>
      </c>
      <c r="E45" s="70">
        <v>10393.76</v>
      </c>
      <c r="F45" s="42"/>
      <c r="G45" s="25">
        <v>18000</v>
      </c>
      <c r="H45" s="76">
        <v>800</v>
      </c>
      <c r="I45" s="76">
        <v>12000</v>
      </c>
      <c r="J45" s="32">
        <f t="shared" si="2"/>
        <v>11200</v>
      </c>
      <c r="K45" s="97">
        <f t="shared" si="3"/>
        <v>14</v>
      </c>
    </row>
    <row r="46" spans="2:11" ht="12.75">
      <c r="B46" t="s">
        <v>97</v>
      </c>
      <c r="C46" s="81">
        <v>0</v>
      </c>
      <c r="D46" s="81">
        <v>0</v>
      </c>
      <c r="E46" s="69">
        <v>-149971</v>
      </c>
      <c r="F46" s="82"/>
      <c r="G46" s="71">
        <v>0</v>
      </c>
      <c r="H46" s="76">
        <v>0</v>
      </c>
      <c r="I46" s="76">
        <v>0</v>
      </c>
      <c r="J46" s="32">
        <f t="shared" si="2"/>
        <v>0</v>
      </c>
      <c r="K46" s="97" t="str">
        <f t="shared" si="3"/>
        <v> 0.0%</v>
      </c>
    </row>
    <row r="47" spans="2:12" ht="12.75">
      <c r="B47" t="s">
        <v>131</v>
      </c>
      <c r="C47" s="25">
        <v>0</v>
      </c>
      <c r="D47" s="25">
        <v>0</v>
      </c>
      <c r="E47" s="25">
        <v>0</v>
      </c>
      <c r="F47" s="41"/>
      <c r="G47" s="25">
        <v>0</v>
      </c>
      <c r="H47" s="25">
        <v>0</v>
      </c>
      <c r="I47" s="25">
        <v>0</v>
      </c>
      <c r="J47" s="32">
        <f>+I47-H47</f>
        <v>0</v>
      </c>
      <c r="K47" s="97" t="str">
        <f>IF(H47=0," 0.0%",+J47/H47)</f>
        <v> 0.0%</v>
      </c>
      <c r="L47" s="1"/>
    </row>
    <row r="48" spans="2:11" ht="12.75">
      <c r="B48" t="s">
        <v>98</v>
      </c>
      <c r="C48" s="27">
        <v>315644</v>
      </c>
      <c r="D48" s="27">
        <v>195725</v>
      </c>
      <c r="E48" s="86">
        <v>426506</v>
      </c>
      <c r="F48" s="42"/>
      <c r="G48" s="27">
        <v>0</v>
      </c>
      <c r="H48" s="78">
        <v>0</v>
      </c>
      <c r="I48" s="78">
        <v>0</v>
      </c>
      <c r="J48" s="33">
        <f t="shared" si="2"/>
        <v>0</v>
      </c>
      <c r="K48" s="98" t="str">
        <f t="shared" si="3"/>
        <v> 0.0%</v>
      </c>
    </row>
    <row r="49" spans="2:12" ht="12.75">
      <c r="B49" t="s">
        <v>37</v>
      </c>
      <c r="C49" s="25">
        <f>SUM(C34:C48)</f>
        <v>436454.66000000003</v>
      </c>
      <c r="D49" s="25">
        <f>SUM(D34:D48)</f>
        <v>307769.2</v>
      </c>
      <c r="E49" s="70">
        <f>SUM(E34:E48)</f>
        <v>413705.48</v>
      </c>
      <c r="F49" s="42"/>
      <c r="G49" s="25">
        <f>SUM(G34:G48)</f>
        <v>74098</v>
      </c>
      <c r="H49" s="25">
        <f>SUM(H34:H48)</f>
        <v>151294</v>
      </c>
      <c r="I49" s="25">
        <f>SUM(I34:I48)</f>
        <v>190000</v>
      </c>
      <c r="J49" s="32">
        <f>+H49-I49</f>
        <v>-38706</v>
      </c>
      <c r="K49" s="97">
        <f t="shared" si="3"/>
        <v>-0.2558330138670403</v>
      </c>
      <c r="L49" s="15"/>
    </row>
    <row r="50" spans="3:12" ht="12.75">
      <c r="C50" s="25"/>
      <c r="D50" s="25"/>
      <c r="E50" s="70"/>
      <c r="F50" s="42"/>
      <c r="G50" s="15"/>
      <c r="H50" s="15"/>
      <c r="I50" s="15"/>
      <c r="L50" s="15"/>
    </row>
    <row r="51" spans="2:11" ht="12.75">
      <c r="B51" t="s">
        <v>45</v>
      </c>
      <c r="C51" s="69">
        <v>0</v>
      </c>
      <c r="D51" s="69">
        <f>28545+2980.17</f>
        <v>31525.17</v>
      </c>
      <c r="E51" s="69">
        <v>0</v>
      </c>
      <c r="F51" s="42"/>
      <c r="G51" s="13">
        <v>5012</v>
      </c>
      <c r="H51" s="79">
        <v>15079</v>
      </c>
      <c r="I51" s="79">
        <v>40000</v>
      </c>
      <c r="J51" s="32">
        <f>+I51-H51</f>
        <v>24921</v>
      </c>
      <c r="K51" s="97">
        <f>IF(H51=0," 0.0%",+J51/H51)</f>
        <v>1.652695802108893</v>
      </c>
    </row>
    <row r="52" spans="2:12" ht="12.75">
      <c r="B52" t="s">
        <v>75</v>
      </c>
      <c r="C52" s="27">
        <v>0</v>
      </c>
      <c r="D52" s="27">
        <v>0</v>
      </c>
      <c r="E52" s="86">
        <v>0</v>
      </c>
      <c r="F52" s="42"/>
      <c r="G52" s="45">
        <f>(G51+G49+G31+G24)*'A-Assumptions'!F20</f>
        <v>28543.8770488535</v>
      </c>
      <c r="H52" s="45">
        <f>(H51+H49+H31+H24)*'A-Assumptions'!F20</f>
        <v>37314.5987403385</v>
      </c>
      <c r="I52" s="45">
        <f>(I51+I49+I31+I24)*'A-Assumptions'!G20</f>
        <v>0</v>
      </c>
      <c r="J52" s="33">
        <f>+I52-H52</f>
        <v>-37314.5987403385</v>
      </c>
      <c r="K52" s="98">
        <f>IF(H52=0," 0.0%",+J52/H52)</f>
        <v>-1</v>
      </c>
      <c r="L52" s="15"/>
    </row>
    <row r="53" spans="3:12" ht="12.75">
      <c r="C53" s="25"/>
      <c r="D53" s="25"/>
      <c r="E53" s="70"/>
      <c r="F53" s="42"/>
      <c r="G53" s="47"/>
      <c r="H53" s="47"/>
      <c r="I53" s="15"/>
      <c r="L53" s="15"/>
    </row>
    <row r="54" spans="2:11" ht="12.75">
      <c r="B54" t="s">
        <v>76</v>
      </c>
      <c r="C54" s="25">
        <f>C24+C31+C49+C51+C52</f>
        <v>2942352.2800000003</v>
      </c>
      <c r="D54" s="25">
        <f aca="true" t="shared" si="4" ref="D54:I54">D24+D31+D49+D51+D52</f>
        <v>2960890.0900000003</v>
      </c>
      <c r="E54" s="70">
        <f t="shared" si="4"/>
        <v>3202827.5999999996</v>
      </c>
      <c r="F54" s="42"/>
      <c r="G54" s="25">
        <f>G24+G31+G49+G51+G52</f>
        <v>2882931.5819342034</v>
      </c>
      <c r="H54" s="25">
        <f t="shared" si="4"/>
        <v>3768774.4727741885</v>
      </c>
      <c r="I54" s="25">
        <f t="shared" si="4"/>
        <v>3804000.177509959</v>
      </c>
      <c r="J54" s="32">
        <f>+I54-H54</f>
        <v>35225.704735770356</v>
      </c>
      <c r="K54" s="97">
        <f>IF(H54=0," 0.0%",+J54/H54)</f>
        <v>0.009346726632289243</v>
      </c>
    </row>
    <row r="55" spans="3:9" ht="12.75">
      <c r="C55" s="25"/>
      <c r="D55" s="25"/>
      <c r="E55" s="25"/>
      <c r="F55" s="42"/>
      <c r="G55" s="15"/>
      <c r="H55" s="15"/>
      <c r="I55" s="15"/>
    </row>
    <row r="56" spans="2:13" ht="12.75">
      <c r="B56" t="s">
        <v>47</v>
      </c>
      <c r="C56" s="25">
        <v>726607</v>
      </c>
      <c r="D56" s="25">
        <v>798743</v>
      </c>
      <c r="E56" s="70">
        <f>(E12-E11)*0.12679977</f>
        <v>876988.41924525</v>
      </c>
      <c r="F56" s="42"/>
      <c r="G56" s="25">
        <f>(+G12-G11)*'A-Assumptions'!F22</f>
        <v>896574.5307137598</v>
      </c>
      <c r="H56" s="25">
        <f>+G56</f>
        <v>896574.5307137598</v>
      </c>
      <c r="I56" s="25">
        <v>934359.1852901782</v>
      </c>
      <c r="J56" s="32">
        <f aca="true" t="shared" si="5" ref="J56:J62">+I56-H56</f>
        <v>37784.65457641834</v>
      </c>
      <c r="K56" s="97">
        <f aca="true" t="shared" si="6" ref="K56:K62">IF(H56=0," 0.0%",+J56/H56)</f>
        <v>0.04214335036523747</v>
      </c>
      <c r="M56" s="15" t="e">
        <f>+I56+#REF!</f>
        <v>#REF!</v>
      </c>
    </row>
    <row r="57" spans="2:13" ht="12.75">
      <c r="B57" t="s">
        <v>48</v>
      </c>
      <c r="C57" s="13">
        <v>1833270</v>
      </c>
      <c r="D57" s="13">
        <v>1983956</v>
      </c>
      <c r="E57" s="69">
        <f>(E12-E11)*0.30371035</f>
        <v>2100559.4864637502</v>
      </c>
      <c r="F57" s="42"/>
      <c r="G57" s="13">
        <f>(+G12-G11)*'A-Assumptions'!F23</f>
        <v>2136268.0438184114</v>
      </c>
      <c r="H57" s="13">
        <f>+G57</f>
        <v>2136268.0438184114</v>
      </c>
      <c r="I57" s="25">
        <v>2078929.1163659308</v>
      </c>
      <c r="J57" s="114">
        <f t="shared" si="5"/>
        <v>-57338.92745248065</v>
      </c>
      <c r="K57" s="115">
        <f t="shared" si="6"/>
        <v>-0.02684069895554484</v>
      </c>
      <c r="M57" s="15" t="e">
        <f>+I57+#REF!</f>
        <v>#REF!</v>
      </c>
    </row>
    <row r="58" spans="2:13" ht="12.75">
      <c r="B58" s="73" t="s">
        <v>117</v>
      </c>
      <c r="C58" s="118" t="s">
        <v>85</v>
      </c>
      <c r="D58" s="118" t="s">
        <v>85</v>
      </c>
      <c r="E58" s="118" t="s">
        <v>85</v>
      </c>
      <c r="F58" s="41"/>
      <c r="G58" s="25">
        <v>0</v>
      </c>
      <c r="H58" s="25">
        <v>0</v>
      </c>
      <c r="I58" s="25">
        <v>686.1847766068468</v>
      </c>
      <c r="J58" s="114">
        <f t="shared" si="5"/>
        <v>686.1847766068468</v>
      </c>
      <c r="K58" s="115" t="str">
        <f t="shared" si="6"/>
        <v> 0.0%</v>
      </c>
      <c r="M58" s="15" t="e">
        <f>+I58+#REF!</f>
        <v>#REF!</v>
      </c>
    </row>
    <row r="59" spans="2:13" ht="12.75">
      <c r="B59" s="73" t="s">
        <v>118</v>
      </c>
      <c r="C59" s="118" t="s">
        <v>85</v>
      </c>
      <c r="D59" s="118" t="s">
        <v>85</v>
      </c>
      <c r="E59" s="118" t="s">
        <v>85</v>
      </c>
      <c r="F59" s="41"/>
      <c r="G59" s="25">
        <v>0</v>
      </c>
      <c r="H59" s="25">
        <v>0</v>
      </c>
      <c r="I59" s="25">
        <v>37840.38</v>
      </c>
      <c r="J59" s="114">
        <f t="shared" si="5"/>
        <v>37840.38</v>
      </c>
      <c r="K59" s="115" t="str">
        <f t="shared" si="6"/>
        <v> 0.0%</v>
      </c>
      <c r="M59" s="15" t="e">
        <f>+I59+#REF!</f>
        <v>#REF!</v>
      </c>
    </row>
    <row r="60" spans="2:13" ht="12.75">
      <c r="B60" t="s">
        <v>120</v>
      </c>
      <c r="C60" s="112" t="s">
        <v>85</v>
      </c>
      <c r="D60" s="112" t="s">
        <v>85</v>
      </c>
      <c r="E60" s="112" t="s">
        <v>85</v>
      </c>
      <c r="F60" s="82"/>
      <c r="G60" s="113">
        <v>0</v>
      </c>
      <c r="H60" s="113">
        <v>0</v>
      </c>
      <c r="I60" s="25">
        <v>164684.3463856432</v>
      </c>
      <c r="J60" s="114">
        <f t="shared" si="5"/>
        <v>164684.3463856432</v>
      </c>
      <c r="K60" s="115" t="str">
        <f t="shared" si="6"/>
        <v> 0.0%</v>
      </c>
      <c r="M60" s="15" t="e">
        <f>+I60+#REF!</f>
        <v>#REF!</v>
      </c>
    </row>
    <row r="61" spans="2:13" ht="12.75">
      <c r="B61" t="s">
        <v>110</v>
      </c>
      <c r="C61" s="112" t="s">
        <v>85</v>
      </c>
      <c r="D61" s="112" t="s">
        <v>85</v>
      </c>
      <c r="E61" s="112" t="s">
        <v>85</v>
      </c>
      <c r="F61" s="82"/>
      <c r="G61" s="72">
        <v>0</v>
      </c>
      <c r="H61" s="72">
        <v>0</v>
      </c>
      <c r="I61" s="25">
        <v>33655.40276463267</v>
      </c>
      <c r="J61" s="33">
        <f t="shared" si="5"/>
        <v>33655.40276463267</v>
      </c>
      <c r="K61" s="98" t="str">
        <f t="shared" si="6"/>
        <v> 0.0%</v>
      </c>
      <c r="M61" s="15" t="e">
        <f>+I61+#REF!</f>
        <v>#REF!</v>
      </c>
    </row>
    <row r="62" spans="2:13" ht="12.75">
      <c r="B62" t="s">
        <v>49</v>
      </c>
      <c r="C62" s="49">
        <f>SUM(C56:C61)</f>
        <v>2559877</v>
      </c>
      <c r="D62" s="49">
        <f>SUM(D56:D61)</f>
        <v>2782699</v>
      </c>
      <c r="E62" s="49">
        <f>SUM(E56:E61)</f>
        <v>2977547.9057090003</v>
      </c>
      <c r="F62" s="42"/>
      <c r="G62" s="49">
        <f>SUM(G56:G61)</f>
        <v>3032842.5745321712</v>
      </c>
      <c r="H62" s="49">
        <f>SUM(H56:H61)</f>
        <v>3032842.5745321712</v>
      </c>
      <c r="I62" s="49">
        <f>SUM(I56:I61)</f>
        <v>3250154.615582992</v>
      </c>
      <c r="J62" s="33">
        <f t="shared" si="5"/>
        <v>217312.0410508206</v>
      </c>
      <c r="K62" s="98">
        <f t="shared" si="6"/>
        <v>0.07165292484208216</v>
      </c>
      <c r="M62" s="15" t="e">
        <f>+I62+#REF!</f>
        <v>#REF!</v>
      </c>
    </row>
    <row r="63" spans="3:9" ht="12.75">
      <c r="C63" s="25"/>
      <c r="D63" s="25"/>
      <c r="E63" s="70"/>
      <c r="F63" s="42"/>
      <c r="G63" s="15"/>
      <c r="H63" s="15"/>
      <c r="I63" s="15"/>
    </row>
    <row r="64" spans="2:13" ht="12.75">
      <c r="B64" t="s">
        <v>81</v>
      </c>
      <c r="C64" s="27">
        <f>+C54+C62</f>
        <v>5502229.28</v>
      </c>
      <c r="D64" s="27">
        <f>+D54+D62</f>
        <v>5743589.09</v>
      </c>
      <c r="E64" s="86">
        <f>+E54+E62</f>
        <v>6180375.505709</v>
      </c>
      <c r="F64" s="42"/>
      <c r="G64" s="27">
        <f>+G54+G62</f>
        <v>5915774.156466374</v>
      </c>
      <c r="H64" s="27">
        <f>+H54+H62</f>
        <v>6801617.04730636</v>
      </c>
      <c r="I64" s="27">
        <f>+I54+I62</f>
        <v>7054154.793092951</v>
      </c>
      <c r="J64" s="33">
        <f>+I64-H64</f>
        <v>252537.74578659143</v>
      </c>
      <c r="K64" s="98">
        <f>IF(H64=0," 0.0%",+J64/H64)</f>
        <v>0.03712907445834573</v>
      </c>
      <c r="M64" s="15" t="e">
        <f>SUM(M56:M61)</f>
        <v>#REF!</v>
      </c>
    </row>
    <row r="65" spans="3:9" ht="12.75">
      <c r="C65" s="25"/>
      <c r="D65" s="25"/>
      <c r="E65" s="87"/>
      <c r="F65" s="42"/>
      <c r="G65" s="15"/>
      <c r="H65" s="15"/>
      <c r="I65" s="15"/>
    </row>
    <row r="66" spans="2:9" ht="12.75">
      <c r="B66" t="s">
        <v>38</v>
      </c>
      <c r="C66" s="25"/>
      <c r="D66" s="15"/>
      <c r="E66" s="87"/>
      <c r="F66" s="64"/>
      <c r="G66" s="26"/>
      <c r="H66" s="26"/>
      <c r="I66" s="26"/>
    </row>
    <row r="67" spans="2:11" ht="13.5" thickBot="1">
      <c r="B67" s="1" t="s">
        <v>39</v>
      </c>
      <c r="C67" s="28">
        <f>C12-C64</f>
        <v>343372.71999999974</v>
      </c>
      <c r="D67" s="28">
        <f>D12-D64</f>
        <v>697914.9100000001</v>
      </c>
      <c r="E67" s="88">
        <f>E12-E64</f>
        <v>820409.954291</v>
      </c>
      <c r="F67" s="42"/>
      <c r="G67" s="28">
        <f>G12-G64</f>
        <v>1214285.8435336258</v>
      </c>
      <c r="H67" s="28">
        <f>H12-H64</f>
        <v>713662.9526936403</v>
      </c>
      <c r="I67" s="28">
        <f>I12-I64</f>
        <v>574721.2069070488</v>
      </c>
      <c r="J67" s="35">
        <f>+I67-H67</f>
        <v>-138941.74578659143</v>
      </c>
      <c r="K67" s="99">
        <f>IF(H67=0," 0.0%",+J67/H67)</f>
        <v>-0.19468818615590386</v>
      </c>
    </row>
    <row r="68" spans="3:9" ht="13.5" thickTop="1">
      <c r="C68" s="15"/>
      <c r="D68" s="15"/>
      <c r="E68" s="87"/>
      <c r="F68" s="64"/>
      <c r="G68" s="15"/>
      <c r="H68" s="15"/>
      <c r="I68" s="15"/>
    </row>
    <row r="69" spans="2:6" ht="12.75">
      <c r="B69" s="2" t="s">
        <v>128</v>
      </c>
      <c r="F69" s="100"/>
    </row>
    <row r="70" spans="2:11" ht="12.75">
      <c r="B70" t="s">
        <v>69</v>
      </c>
      <c r="C70" s="15">
        <v>0</v>
      </c>
      <c r="D70" s="15">
        <v>0</v>
      </c>
      <c r="E70" s="87">
        <v>105000</v>
      </c>
      <c r="F70" s="64"/>
      <c r="G70" s="15">
        <v>52531</v>
      </c>
      <c r="H70" s="15">
        <v>224843</v>
      </c>
      <c r="I70" s="15">
        <v>152371</v>
      </c>
      <c r="J70" s="32">
        <f>+I70-H70</f>
        <v>-72472</v>
      </c>
      <c r="K70" s="23">
        <f>+J70/H70</f>
        <v>-0.32232268738630954</v>
      </c>
    </row>
    <row r="71" spans="2:11" ht="12.75">
      <c r="B71" t="s">
        <v>70</v>
      </c>
      <c r="C71" s="45">
        <v>220052.52</v>
      </c>
      <c r="D71" s="45">
        <v>323024.70999999996</v>
      </c>
      <c r="E71" s="89">
        <v>453339.94</v>
      </c>
      <c r="F71" s="100"/>
      <c r="G71" s="45">
        <v>242321.45821936912</v>
      </c>
      <c r="H71" s="45">
        <v>298263.70692082855</v>
      </c>
      <c r="I71" s="45">
        <v>414344.14987816</v>
      </c>
      <c r="J71" s="33">
        <f>+I71-H71</f>
        <v>116080.44295733143</v>
      </c>
      <c r="K71" s="34">
        <f>+J71/H71</f>
        <v>0.38918728716847856</v>
      </c>
    </row>
    <row r="72" ht="12.75">
      <c r="F72" s="100"/>
    </row>
    <row r="73" spans="2:6" ht="12.75">
      <c r="B73" t="s">
        <v>38</v>
      </c>
      <c r="F73" s="100"/>
    </row>
    <row r="74" spans="2:11" ht="13.5" thickBot="1">
      <c r="B74" s="1" t="s">
        <v>39</v>
      </c>
      <c r="C74" s="50">
        <f>+C70-C71</f>
        <v>-220052.52</v>
      </c>
      <c r="D74" s="50">
        <f>+D70-D71</f>
        <v>-323024.70999999996</v>
      </c>
      <c r="E74" s="90">
        <f>+E70-E71</f>
        <v>-348339.94</v>
      </c>
      <c r="F74" s="100"/>
      <c r="G74" s="50">
        <f>+G70-G71</f>
        <v>-189790.45821936912</v>
      </c>
      <c r="H74" s="50">
        <f>+H70-H71</f>
        <v>-73420.70692082855</v>
      </c>
      <c r="I74" s="50">
        <f>+I70-I71</f>
        <v>-261973.14987815998</v>
      </c>
      <c r="J74" s="35">
        <f>+I74-H74</f>
        <v>-188552.44295733143</v>
      </c>
      <c r="K74" s="36">
        <f>+J74/H74</f>
        <v>2.568109881598558</v>
      </c>
    </row>
    <row r="75" ht="13.5" thickTop="1">
      <c r="F75" s="100"/>
    </row>
    <row r="76" spans="2:6" ht="12.75">
      <c r="B76" t="s">
        <v>71</v>
      </c>
      <c r="F76" s="100"/>
    </row>
    <row r="77" spans="2:11" ht="13.5" thickBot="1">
      <c r="B77" s="1" t="s">
        <v>72</v>
      </c>
      <c r="C77" s="50">
        <f>+C67+C74</f>
        <v>123320.19999999975</v>
      </c>
      <c r="D77" s="50">
        <f>+D67+D74</f>
        <v>374890.2000000002</v>
      </c>
      <c r="E77" s="90">
        <f>+E67+E74</f>
        <v>472070.014291</v>
      </c>
      <c r="F77" s="100"/>
      <c r="G77" s="50">
        <f>+G67+G74</f>
        <v>1024495.3853142567</v>
      </c>
      <c r="H77" s="50">
        <f>+H67+H74</f>
        <v>640242.2457728117</v>
      </c>
      <c r="I77" s="50">
        <f>+I67+I74</f>
        <v>312748.05702888884</v>
      </c>
      <c r="J77" s="35">
        <f>+H77-I77</f>
        <v>327494.18874392286</v>
      </c>
      <c r="K77" s="99">
        <f>IF(H77=0," 0.0%",IF(H77&lt;0,-(+J77/H77),+J77/H77))</f>
        <v>0.511516056471121</v>
      </c>
    </row>
    <row r="78" ht="13.5" thickTop="1">
      <c r="F78" s="40"/>
    </row>
    <row r="79" spans="2:9" ht="12.75">
      <c r="B79" s="2" t="s">
        <v>87</v>
      </c>
      <c r="C79" s="15"/>
      <c r="D79" s="15"/>
      <c r="E79" s="87"/>
      <c r="F79" s="43"/>
      <c r="G79" s="15"/>
      <c r="H79" s="15"/>
      <c r="I79" s="15"/>
    </row>
    <row r="80" spans="2:11" ht="12.75">
      <c r="B80" s="44" t="s">
        <v>58</v>
      </c>
      <c r="C80" s="25">
        <v>4219254</v>
      </c>
      <c r="D80" s="25">
        <v>4582701</v>
      </c>
      <c r="E80" s="70">
        <f>2235899+984409</f>
        <v>3220308</v>
      </c>
      <c r="F80" s="43"/>
      <c r="G80" s="25">
        <f>2258590+1031970</f>
        <v>3290560</v>
      </c>
      <c r="H80" s="15">
        <f>2211665+1011379</f>
        <v>3223044</v>
      </c>
      <c r="I80" s="25">
        <f>1043439+2222170</f>
        <v>3265609</v>
      </c>
      <c r="J80" s="15"/>
      <c r="K80" s="60"/>
    </row>
    <row r="81" spans="2:11" ht="12.75">
      <c r="B81" s="44" t="s">
        <v>59</v>
      </c>
      <c r="C81" s="25">
        <f>547410+2104</f>
        <v>549514</v>
      </c>
      <c r="D81" s="25">
        <v>491778</v>
      </c>
      <c r="E81" s="70">
        <v>423092</v>
      </c>
      <c r="F81" s="43"/>
      <c r="G81" s="25">
        <v>532908</v>
      </c>
      <c r="H81" s="80">
        <f>673013+463</f>
        <v>673476</v>
      </c>
      <c r="I81" s="25">
        <f>637657+461</f>
        <v>638118</v>
      </c>
      <c r="J81" s="15"/>
      <c r="K81" s="102"/>
    </row>
    <row r="82" spans="2:11" ht="12.75">
      <c r="B82" s="44" t="s">
        <v>60</v>
      </c>
      <c r="C82" s="27">
        <v>0</v>
      </c>
      <c r="D82" s="27">
        <v>0</v>
      </c>
      <c r="E82" s="86">
        <v>0</v>
      </c>
      <c r="F82" s="43"/>
      <c r="G82" s="77">
        <v>0</v>
      </c>
      <c r="H82" s="80">
        <f>0</f>
        <v>0</v>
      </c>
      <c r="I82" s="25">
        <f>+H82</f>
        <v>0</v>
      </c>
      <c r="J82" s="15"/>
      <c r="K82" s="102"/>
    </row>
    <row r="83" spans="2:11" ht="13.5" thickBot="1">
      <c r="B83" s="44" t="s">
        <v>93</v>
      </c>
      <c r="C83" s="48">
        <f>SUM(C80:C82)</f>
        <v>4768768</v>
      </c>
      <c r="D83" s="48">
        <f>SUM(D80:D82)</f>
        <v>5074479</v>
      </c>
      <c r="E83" s="91">
        <f>SUM(E80:E82)</f>
        <v>3643400</v>
      </c>
      <c r="F83" s="43"/>
      <c r="G83" s="48">
        <f>SUM(G80:G82)</f>
        <v>3823468</v>
      </c>
      <c r="H83" s="61">
        <f>SUM(H80:H82)</f>
        <v>3896520</v>
      </c>
      <c r="I83" s="48">
        <f>SUM(I80:I82)</f>
        <v>3903727</v>
      </c>
      <c r="J83" s="15"/>
      <c r="K83" s="15"/>
    </row>
    <row r="84" spans="2:11" ht="13.5" thickTop="1">
      <c r="B84" s="46" t="s">
        <v>86</v>
      </c>
      <c r="C84" s="15"/>
      <c r="D84" s="15"/>
      <c r="E84" s="87"/>
      <c r="F84" s="43"/>
      <c r="G84" s="15"/>
      <c r="H84" s="74"/>
      <c r="I84" s="15"/>
      <c r="J84" s="15"/>
      <c r="K84" s="15"/>
    </row>
    <row r="85" spans="2:11" ht="12.75">
      <c r="B85" s="44" t="s">
        <v>58</v>
      </c>
      <c r="C85" s="25">
        <v>0</v>
      </c>
      <c r="D85" s="25">
        <v>0</v>
      </c>
      <c r="E85" s="70">
        <f>1391715+531040</f>
        <v>1922755</v>
      </c>
      <c r="F85" s="43"/>
      <c r="G85" s="77">
        <f>1594389+550734</f>
        <v>2145123</v>
      </c>
      <c r="H85" s="80">
        <f>1594388+623095</f>
        <v>2217483</v>
      </c>
      <c r="I85" s="80">
        <f>1689743+557079</f>
        <v>2246822</v>
      </c>
      <c r="J85" s="15"/>
      <c r="K85" s="15"/>
    </row>
    <row r="86" spans="2:11" ht="12.75">
      <c r="B86" s="44" t="s">
        <v>59</v>
      </c>
      <c r="C86" s="25">
        <v>604180</v>
      </c>
      <c r="D86" s="25">
        <v>788403</v>
      </c>
      <c r="E86" s="70">
        <v>758006</v>
      </c>
      <c r="F86" s="43"/>
      <c r="G86" s="77">
        <v>820862</v>
      </c>
      <c r="H86" s="80">
        <f>820862</f>
        <v>820862</v>
      </c>
      <c r="I86" s="80">
        <v>902482</v>
      </c>
      <c r="J86" s="15"/>
      <c r="K86" s="15"/>
    </row>
    <row r="87" spans="2:11" ht="12.75">
      <c r="B87" s="44" t="s">
        <v>60</v>
      </c>
      <c r="C87" s="25">
        <v>0</v>
      </c>
      <c r="D87" s="25">
        <v>0</v>
      </c>
      <c r="E87" s="70">
        <v>0</v>
      </c>
      <c r="F87" s="43"/>
      <c r="G87" s="77">
        <v>0</v>
      </c>
      <c r="H87" s="80">
        <f>0</f>
        <v>0</v>
      </c>
      <c r="I87" s="80">
        <f>+H87</f>
        <v>0</v>
      </c>
      <c r="J87" s="15"/>
      <c r="K87" s="15"/>
    </row>
    <row r="88" spans="2:11" ht="13.5" thickBot="1">
      <c r="B88" s="44" t="s">
        <v>94</v>
      </c>
      <c r="C88" s="48">
        <f>SUM(C85:C87)</f>
        <v>604180</v>
      </c>
      <c r="D88" s="48">
        <f>SUM(D85:D87)</f>
        <v>788403</v>
      </c>
      <c r="E88" s="91">
        <f>SUM(E85:E87)</f>
        <v>2680761</v>
      </c>
      <c r="F88" s="43"/>
      <c r="G88" s="48">
        <f>SUM(G85:G87)</f>
        <v>2965985</v>
      </c>
      <c r="H88" s="61">
        <f>SUM(H85:H87)</f>
        <v>3038345</v>
      </c>
      <c r="I88" s="48">
        <f>SUM(I85:I87)</f>
        <v>3149304</v>
      </c>
      <c r="J88" s="15"/>
      <c r="K88" s="15"/>
    </row>
    <row r="89" spans="2:11" ht="13.5" thickTop="1">
      <c r="B89" s="46" t="s">
        <v>88</v>
      </c>
      <c r="C89" s="15"/>
      <c r="D89" s="15"/>
      <c r="E89" s="87"/>
      <c r="F89" s="43"/>
      <c r="G89" s="15"/>
      <c r="H89" s="74"/>
      <c r="I89" s="15"/>
      <c r="J89" s="15"/>
      <c r="K89" s="15"/>
    </row>
    <row r="90" spans="2:11" ht="12.75">
      <c r="B90" s="63" t="s">
        <v>84</v>
      </c>
      <c r="C90" s="15">
        <v>0</v>
      </c>
      <c r="D90" s="15">
        <v>0</v>
      </c>
      <c r="E90" s="87">
        <v>0</v>
      </c>
      <c r="F90" s="43"/>
      <c r="G90" s="66">
        <v>0</v>
      </c>
      <c r="H90" s="74">
        <v>0</v>
      </c>
      <c r="I90" s="74">
        <v>0</v>
      </c>
      <c r="J90" s="15"/>
      <c r="K90" s="15"/>
    </row>
    <row r="91" spans="2:11" ht="12.75">
      <c r="B91" s="44" t="s">
        <v>61</v>
      </c>
      <c r="C91" s="15">
        <f>67205+115110</f>
        <v>182315</v>
      </c>
      <c r="D91" s="15">
        <f>60230+124997</f>
        <v>185227</v>
      </c>
      <c r="E91" s="87">
        <f>48589+132323</f>
        <v>180912</v>
      </c>
      <c r="F91" s="64"/>
      <c r="G91" s="13">
        <f>50599+127682</f>
        <v>178281</v>
      </c>
      <c r="H91" s="80">
        <f>48828+121305</f>
        <v>170133</v>
      </c>
      <c r="I91" s="77">
        <f>50693+126701</f>
        <v>177394</v>
      </c>
      <c r="J91" s="15"/>
      <c r="K91" s="15"/>
    </row>
    <row r="92" spans="2:11" ht="12.75">
      <c r="B92" s="44" t="s">
        <v>62</v>
      </c>
      <c r="C92" s="15">
        <v>162460</v>
      </c>
      <c r="D92" s="15">
        <v>278640</v>
      </c>
      <c r="E92" s="87">
        <v>321765</v>
      </c>
      <c r="F92" s="43"/>
      <c r="G92" s="13">
        <v>0</v>
      </c>
      <c r="H92" s="80">
        <v>185593</v>
      </c>
      <c r="I92" s="77">
        <v>185404</v>
      </c>
      <c r="J92" s="15"/>
      <c r="K92" s="15"/>
    </row>
    <row r="93" spans="2:11" ht="12.75">
      <c r="B93" s="44" t="s">
        <v>63</v>
      </c>
      <c r="C93" s="15">
        <v>127879</v>
      </c>
      <c r="D93" s="15">
        <v>114755</v>
      </c>
      <c r="E93" s="87">
        <v>89487</v>
      </c>
      <c r="F93" s="43"/>
      <c r="G93" s="27">
        <v>142326</v>
      </c>
      <c r="H93" s="80">
        <v>127888</v>
      </c>
      <c r="I93" s="77">
        <v>152247</v>
      </c>
      <c r="J93" s="15"/>
      <c r="K93" s="15"/>
    </row>
    <row r="94" spans="2:11" ht="13.5" thickBot="1">
      <c r="B94" s="44" t="s">
        <v>77</v>
      </c>
      <c r="C94" s="48">
        <f>SUM(C90:C93)</f>
        <v>472654</v>
      </c>
      <c r="D94" s="48">
        <f>SUM(D90:D93)</f>
        <v>578622</v>
      </c>
      <c r="E94" s="91">
        <f>SUM(E90:E93)</f>
        <v>592164</v>
      </c>
      <c r="F94" s="43"/>
      <c r="G94" s="48">
        <f>SUM(G90:G93)</f>
        <v>320607</v>
      </c>
      <c r="H94" s="48">
        <f>SUM(H90:H93)</f>
        <v>483614</v>
      </c>
      <c r="I94" s="48">
        <f>SUM(I90:I93)</f>
        <v>515045</v>
      </c>
      <c r="J94" s="15"/>
      <c r="K94" s="15"/>
    </row>
    <row r="95" spans="2:11" ht="13.5" thickTop="1">
      <c r="B95" s="46" t="s">
        <v>89</v>
      </c>
      <c r="C95" s="15"/>
      <c r="D95" s="15"/>
      <c r="E95" s="87"/>
      <c r="F95" s="43"/>
      <c r="G95" s="15"/>
      <c r="H95" s="15"/>
      <c r="I95" s="15"/>
      <c r="J95" s="15"/>
      <c r="K95" s="15"/>
    </row>
    <row r="96" spans="2:11" ht="12.75">
      <c r="B96" s="44" t="s">
        <v>58</v>
      </c>
      <c r="C96" s="15">
        <f>+C80+C85</f>
        <v>4219254</v>
      </c>
      <c r="D96" s="15">
        <f>+D80+D85</f>
        <v>4582701</v>
      </c>
      <c r="E96" s="87">
        <f>+E80+E85</f>
        <v>5143063</v>
      </c>
      <c r="F96" s="43"/>
      <c r="G96" s="15">
        <f aca="true" t="shared" si="7" ref="G96:H98">+G80+G85</f>
        <v>5435683</v>
      </c>
      <c r="H96" s="15">
        <f t="shared" si="7"/>
        <v>5440527</v>
      </c>
      <c r="I96" s="15">
        <f>+I80+I85</f>
        <v>5512431</v>
      </c>
      <c r="J96" s="15"/>
      <c r="K96" s="15"/>
    </row>
    <row r="97" spans="2:11" ht="12.75">
      <c r="B97" s="44" t="s">
        <v>59</v>
      </c>
      <c r="C97" s="15">
        <f aca="true" t="shared" si="8" ref="C97:E98">+C81+C86</f>
        <v>1153694</v>
      </c>
      <c r="D97" s="15">
        <f t="shared" si="8"/>
        <v>1280181</v>
      </c>
      <c r="E97" s="87">
        <f t="shared" si="8"/>
        <v>1181098</v>
      </c>
      <c r="F97" s="43"/>
      <c r="G97" s="15">
        <f t="shared" si="7"/>
        <v>1353770</v>
      </c>
      <c r="H97" s="15">
        <f t="shared" si="7"/>
        <v>1494338</v>
      </c>
      <c r="I97" s="15">
        <f>+I81+I86</f>
        <v>1540600</v>
      </c>
      <c r="J97" s="15"/>
      <c r="K97" s="15"/>
    </row>
    <row r="98" spans="2:11" ht="12.75">
      <c r="B98" s="44" t="s">
        <v>60</v>
      </c>
      <c r="C98" s="47">
        <f t="shared" si="8"/>
        <v>0</v>
      </c>
      <c r="D98" s="47">
        <f t="shared" si="8"/>
        <v>0</v>
      </c>
      <c r="E98" s="92">
        <f t="shared" si="8"/>
        <v>0</v>
      </c>
      <c r="F98" s="43"/>
      <c r="G98" s="47">
        <f t="shared" si="7"/>
        <v>0</v>
      </c>
      <c r="H98" s="47">
        <f t="shared" si="7"/>
        <v>0</v>
      </c>
      <c r="I98" s="47">
        <f>+I82+I87</f>
        <v>0</v>
      </c>
      <c r="J98" s="15"/>
      <c r="K98" s="15"/>
    </row>
    <row r="99" spans="2:11" ht="12.75">
      <c r="B99" s="44" t="s">
        <v>78</v>
      </c>
      <c r="C99" s="45">
        <f>+C94</f>
        <v>472654</v>
      </c>
      <c r="D99" s="45">
        <f>+D94</f>
        <v>578622</v>
      </c>
      <c r="E99" s="89">
        <f>+E94</f>
        <v>592164</v>
      </c>
      <c r="F99" s="43"/>
      <c r="G99" s="45">
        <f>+G94</f>
        <v>320607</v>
      </c>
      <c r="H99" s="45">
        <f>+H94</f>
        <v>483614</v>
      </c>
      <c r="I99" s="45">
        <f>+I94</f>
        <v>515045</v>
      </c>
      <c r="J99" s="15"/>
      <c r="K99" s="15"/>
    </row>
    <row r="100" spans="2:11" ht="13.5" thickBot="1">
      <c r="B100" s="75" t="s">
        <v>89</v>
      </c>
      <c r="C100" s="48">
        <f>SUM(C96:C99)</f>
        <v>5845602</v>
      </c>
      <c r="D100" s="48">
        <f>SUM(D96:D99)</f>
        <v>6441504</v>
      </c>
      <c r="E100" s="91">
        <f>SUM(E96:E99)</f>
        <v>6916325</v>
      </c>
      <c r="F100" s="43"/>
      <c r="G100" s="61">
        <f>SUM(G96:G99)</f>
        <v>7110060</v>
      </c>
      <c r="H100" s="61">
        <f>SUM(H96:H99)</f>
        <v>7418479</v>
      </c>
      <c r="I100" s="61">
        <f>SUM(I96:I99)</f>
        <v>7568076</v>
      </c>
      <c r="J100" s="15"/>
      <c r="K100" s="15"/>
    </row>
    <row r="101" spans="2:11" ht="13.5" thickTop="1">
      <c r="B101" s="46" t="s">
        <v>40</v>
      </c>
      <c r="C101" s="47"/>
      <c r="D101" s="47"/>
      <c r="E101" s="92"/>
      <c r="F101" s="64"/>
      <c r="G101" s="47"/>
      <c r="H101" s="47"/>
      <c r="I101" s="47"/>
      <c r="J101" s="15"/>
      <c r="K101" s="15"/>
    </row>
    <row r="102" spans="2:11" ht="12.75">
      <c r="B102" s="75" t="s">
        <v>79</v>
      </c>
      <c r="C102" s="25">
        <v>0</v>
      </c>
      <c r="D102" s="25">
        <v>0</v>
      </c>
      <c r="E102" s="87">
        <v>0</v>
      </c>
      <c r="F102" s="64"/>
      <c r="G102" s="25">
        <v>0</v>
      </c>
      <c r="H102" s="76">
        <v>36062</v>
      </c>
      <c r="I102" s="76">
        <v>0</v>
      </c>
      <c r="J102" s="15"/>
      <c r="K102" s="15"/>
    </row>
    <row r="103" spans="2:11" ht="12.75">
      <c r="B103" s="75" t="s">
        <v>90</v>
      </c>
      <c r="C103" s="25">
        <v>0</v>
      </c>
      <c r="D103" s="25">
        <v>0</v>
      </c>
      <c r="E103" s="70">
        <v>52189.8</v>
      </c>
      <c r="F103" s="64"/>
      <c r="G103" s="25">
        <v>20000</v>
      </c>
      <c r="H103" s="76">
        <v>60739</v>
      </c>
      <c r="I103" s="76">
        <v>60800</v>
      </c>
      <c r="J103" s="15"/>
      <c r="K103" s="15"/>
    </row>
    <row r="104" spans="2:11" ht="12.75">
      <c r="B104" s="75" t="s">
        <v>91</v>
      </c>
      <c r="C104" s="25">
        <v>0</v>
      </c>
      <c r="D104" s="25">
        <v>0</v>
      </c>
      <c r="E104" s="87">
        <v>32270.66</v>
      </c>
      <c r="F104" s="64"/>
      <c r="G104" s="25">
        <v>0</v>
      </c>
      <c r="H104" s="76">
        <v>0</v>
      </c>
      <c r="I104" s="76">
        <v>0</v>
      </c>
      <c r="J104" s="15"/>
      <c r="K104" s="15"/>
    </row>
    <row r="105" spans="2:11" ht="13.5" thickBot="1">
      <c r="B105" s="75" t="s">
        <v>77</v>
      </c>
      <c r="C105" s="48">
        <f>SUM(C102:C104)</f>
        <v>0</v>
      </c>
      <c r="D105" s="48">
        <f>SUM(D102:D104)</f>
        <v>0</v>
      </c>
      <c r="E105" s="91">
        <f>SUM(E102:E104)</f>
        <v>84460.46</v>
      </c>
      <c r="F105" s="64"/>
      <c r="G105" s="48">
        <f>SUM(G102:G104)</f>
        <v>20000</v>
      </c>
      <c r="H105" s="48">
        <f>SUM(H102:H104)</f>
        <v>96801</v>
      </c>
      <c r="I105" s="48">
        <f>SUM(I102:I104)</f>
        <v>60800</v>
      </c>
      <c r="J105" s="15"/>
      <c r="K105" s="15"/>
    </row>
    <row r="106" spans="2:11" ht="13.5" thickTop="1">
      <c r="B106" s="46" t="s">
        <v>95</v>
      </c>
      <c r="C106" s="15"/>
      <c r="D106" s="15"/>
      <c r="E106" s="87"/>
      <c r="F106" s="43"/>
      <c r="G106" s="15"/>
      <c r="H106" s="15"/>
      <c r="I106" s="15"/>
      <c r="J106" s="15"/>
      <c r="K106" s="15"/>
    </row>
    <row r="107" spans="2:11" ht="12.75">
      <c r="B107" s="44" t="s">
        <v>58</v>
      </c>
      <c r="C107" s="15">
        <f>+C96</f>
        <v>4219254</v>
      </c>
      <c r="D107" s="15">
        <f aca="true" t="shared" si="9" ref="D107:E110">+D96</f>
        <v>4582701</v>
      </c>
      <c r="E107" s="87">
        <f t="shared" si="9"/>
        <v>5143063</v>
      </c>
      <c r="F107" s="43"/>
      <c r="G107" s="15">
        <f aca="true" t="shared" si="10" ref="G107:I110">+G96</f>
        <v>5435683</v>
      </c>
      <c r="H107" s="15">
        <f t="shared" si="10"/>
        <v>5440527</v>
      </c>
      <c r="I107" s="103">
        <f t="shared" si="10"/>
        <v>5512431</v>
      </c>
      <c r="J107" s="15"/>
      <c r="K107" s="15"/>
    </row>
    <row r="108" spans="2:11" ht="12.75">
      <c r="B108" s="44" t="s">
        <v>59</v>
      </c>
      <c r="C108" s="15">
        <f>+C97</f>
        <v>1153694</v>
      </c>
      <c r="D108" s="15">
        <f t="shared" si="9"/>
        <v>1280181</v>
      </c>
      <c r="E108" s="87">
        <f t="shared" si="9"/>
        <v>1181098</v>
      </c>
      <c r="F108" s="43"/>
      <c r="G108" s="15">
        <f t="shared" si="10"/>
        <v>1353770</v>
      </c>
      <c r="H108" s="15">
        <f t="shared" si="10"/>
        <v>1494338</v>
      </c>
      <c r="I108" s="103">
        <f t="shared" si="10"/>
        <v>1540600</v>
      </c>
      <c r="J108" s="15"/>
      <c r="K108" s="15"/>
    </row>
    <row r="109" spans="2:11" ht="12.75">
      <c r="B109" s="44" t="s">
        <v>60</v>
      </c>
      <c r="C109" s="47">
        <f>+C98</f>
        <v>0</v>
      </c>
      <c r="D109" s="47">
        <f t="shared" si="9"/>
        <v>0</v>
      </c>
      <c r="E109" s="92">
        <f t="shared" si="9"/>
        <v>0</v>
      </c>
      <c r="F109" s="43"/>
      <c r="G109" s="47">
        <f t="shared" si="10"/>
        <v>0</v>
      </c>
      <c r="H109" s="47">
        <f t="shared" si="10"/>
        <v>0</v>
      </c>
      <c r="I109" s="104">
        <f t="shared" si="10"/>
        <v>0</v>
      </c>
      <c r="J109" s="15"/>
      <c r="K109" s="15"/>
    </row>
    <row r="110" spans="2:11" ht="12.75">
      <c r="B110" s="44" t="s">
        <v>92</v>
      </c>
      <c r="C110" s="47">
        <f>+C99</f>
        <v>472654</v>
      </c>
      <c r="D110" s="47">
        <f t="shared" si="9"/>
        <v>578622</v>
      </c>
      <c r="E110" s="92">
        <f t="shared" si="9"/>
        <v>592164</v>
      </c>
      <c r="F110" s="43"/>
      <c r="G110" s="47">
        <f t="shared" si="10"/>
        <v>320607</v>
      </c>
      <c r="H110" s="47">
        <f t="shared" si="10"/>
        <v>483614</v>
      </c>
      <c r="I110" s="104">
        <f t="shared" si="10"/>
        <v>515045</v>
      </c>
      <c r="J110" s="15"/>
      <c r="K110" s="15"/>
    </row>
    <row r="111" spans="2:11" ht="12.75">
      <c r="B111" s="75" t="s">
        <v>77</v>
      </c>
      <c r="C111" s="45">
        <f>+C105</f>
        <v>0</v>
      </c>
      <c r="D111" s="45">
        <f>+D105</f>
        <v>0</v>
      </c>
      <c r="E111" s="89">
        <f>+E105</f>
        <v>84460.46</v>
      </c>
      <c r="F111" s="43"/>
      <c r="G111" s="45">
        <f>+G105</f>
        <v>20000</v>
      </c>
      <c r="H111" s="45">
        <f>+H105</f>
        <v>96801</v>
      </c>
      <c r="I111" s="89">
        <f>+I105</f>
        <v>60800</v>
      </c>
      <c r="J111" s="15"/>
      <c r="K111" s="15"/>
    </row>
    <row r="112" spans="2:11" ht="13.5" thickBot="1">
      <c r="B112" s="44" t="s">
        <v>96</v>
      </c>
      <c r="C112" s="48">
        <f>SUM(C107:C111)</f>
        <v>5845602</v>
      </c>
      <c r="D112" s="48">
        <f>SUM(D107:D111)</f>
        <v>6441504</v>
      </c>
      <c r="E112" s="91">
        <f>SUM(E107:E111)</f>
        <v>7000785.46</v>
      </c>
      <c r="F112" s="43"/>
      <c r="G112" s="61">
        <f>SUM(G107:G111)</f>
        <v>7130060</v>
      </c>
      <c r="H112" s="61">
        <f>SUM(H107:H111)</f>
        <v>7515280</v>
      </c>
      <c r="I112" s="61">
        <f>SUM(I107:I111)</f>
        <v>7628876</v>
      </c>
      <c r="J112" s="15"/>
      <c r="K112" s="15"/>
    </row>
    <row r="113" spans="2:11" ht="13.5" thickTop="1">
      <c r="B113" s="44"/>
      <c r="C113" s="47"/>
      <c r="D113" s="47"/>
      <c r="E113" s="92"/>
      <c r="F113" s="15"/>
      <c r="G113" s="62"/>
      <c r="H113" s="62"/>
      <c r="I113" s="62"/>
      <c r="J113" s="15"/>
      <c r="K113" s="15"/>
    </row>
    <row r="114" ht="12.75">
      <c r="G114" s="15"/>
    </row>
    <row r="115" spans="7:9" ht="12.75">
      <c r="G115" s="15"/>
      <c r="H115" s="15"/>
      <c r="I115" s="15"/>
    </row>
    <row r="116" ht="12.75">
      <c r="G116" s="15"/>
    </row>
    <row r="117" spans="2:7" ht="12.75">
      <c r="B117" t="s">
        <v>41</v>
      </c>
      <c r="C117" s="51">
        <v>5845602</v>
      </c>
      <c r="D117" s="54">
        <v>6441504</v>
      </c>
      <c r="E117" s="93">
        <v>6916325</v>
      </c>
      <c r="F117" s="93">
        <v>6916325</v>
      </c>
      <c r="G117" s="92">
        <v>7162591</v>
      </c>
    </row>
    <row r="118" spans="2:7" ht="12.75">
      <c r="B118" t="s">
        <v>73</v>
      </c>
      <c r="C118" s="51">
        <v>-2822161</v>
      </c>
      <c r="D118" s="54">
        <v>-3311957</v>
      </c>
      <c r="E118" s="93">
        <v>-3472107</v>
      </c>
      <c r="F118" s="93">
        <v>-3472107</v>
      </c>
      <c r="G118" s="92">
        <v>0</v>
      </c>
    </row>
    <row r="119" spans="2:7" ht="12.75">
      <c r="B119" t="s">
        <v>1</v>
      </c>
      <c r="C119" s="53">
        <v>-279619</v>
      </c>
      <c r="D119" s="56">
        <v>0</v>
      </c>
      <c r="E119" s="94">
        <v>0</v>
      </c>
      <c r="F119" s="3"/>
      <c r="G119" s="89">
        <v>0</v>
      </c>
    </row>
    <row r="120" spans="2:7" ht="12.75">
      <c r="B120" t="s">
        <v>2</v>
      </c>
      <c r="C120" s="54">
        <f>SUM(C117:C119)</f>
        <v>2743822</v>
      </c>
      <c r="D120" s="54">
        <f>SUM(D117:D119)</f>
        <v>3129547</v>
      </c>
      <c r="E120" s="93">
        <f>SUM(E117:E119)</f>
        <v>3444218</v>
      </c>
      <c r="F120" s="93"/>
      <c r="G120" s="92">
        <f>SUM(G117:G119)</f>
        <v>7162591</v>
      </c>
    </row>
    <row r="121" spans="2:8" ht="12.75">
      <c r="B121" t="s">
        <v>3</v>
      </c>
      <c r="C121" s="54">
        <v>-726607</v>
      </c>
      <c r="D121" s="54">
        <v>-798743</v>
      </c>
      <c r="E121" s="93">
        <v>-876988</v>
      </c>
      <c r="F121" s="93"/>
      <c r="G121" s="92">
        <v>-903199</v>
      </c>
      <c r="H121" s="15"/>
    </row>
    <row r="122" spans="2:8" ht="12.75">
      <c r="B122" t="s">
        <v>4</v>
      </c>
      <c r="C122" s="55">
        <v>-1833270</v>
      </c>
      <c r="D122" s="55">
        <v>-1983956</v>
      </c>
      <c r="E122" s="95">
        <v>-2100559</v>
      </c>
      <c r="F122" s="93"/>
      <c r="G122" s="89">
        <v>-2152051</v>
      </c>
      <c r="H122" s="15"/>
    </row>
    <row r="123" spans="4:7" ht="12.75">
      <c r="D123" s="1"/>
      <c r="E123" s="3"/>
      <c r="F123" s="3"/>
      <c r="G123" s="92"/>
    </row>
    <row r="124" spans="2:7" ht="13.5" thickBot="1">
      <c r="B124" t="s">
        <v>5</v>
      </c>
      <c r="C124" s="57">
        <f>SUM(C120:C123)</f>
        <v>183945</v>
      </c>
      <c r="D124" s="57">
        <f>SUM(D120:D123)</f>
        <v>346848</v>
      </c>
      <c r="E124" s="96">
        <f>SUM(E120:E123)</f>
        <v>466671</v>
      </c>
      <c r="F124" s="93"/>
      <c r="G124" s="90">
        <f>SUM(G120:G123)</f>
        <v>4107341</v>
      </c>
    </row>
    <row r="125" ht="13.5" thickTop="1">
      <c r="F125" s="1"/>
    </row>
    <row r="127" spans="3:4" ht="12.75">
      <c r="C127" s="52"/>
      <c r="D127" s="52"/>
    </row>
    <row r="128" spans="3:9" ht="12.75">
      <c r="C128" s="52"/>
      <c r="D128" s="52"/>
      <c r="E128" s="93"/>
      <c r="F128" s="1"/>
      <c r="G128" s="1"/>
      <c r="H128" s="54"/>
      <c r="I128" s="1"/>
    </row>
    <row r="131" spans="3:4" ht="12.75">
      <c r="C131" s="58"/>
      <c r="D131" s="58"/>
    </row>
    <row r="132" spans="3:4" ht="12.75">
      <c r="C132" s="58"/>
      <c r="D132" s="58"/>
    </row>
  </sheetData>
  <sheetProtection/>
  <printOptions horizontalCentered="1"/>
  <pageMargins left="0" right="0" top="0.25" bottom="0" header="0.5" footer="0.5"/>
  <pageSetup fitToHeight="1" fitToWidth="1" horizontalDpi="300" verticalDpi="300" orientation="portrait" scale="76" r:id="rId1"/>
  <rowBreaks count="1" manualBreakCount="1">
    <brk id="7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Services</dc:creator>
  <cp:keywords/>
  <dc:description/>
  <cp:lastModifiedBy>Denno, Peta</cp:lastModifiedBy>
  <cp:lastPrinted>2009-05-07T15:29:02Z</cp:lastPrinted>
  <dcterms:created xsi:type="dcterms:W3CDTF">1998-03-25T01:07:41Z</dcterms:created>
  <dcterms:modified xsi:type="dcterms:W3CDTF">2009-07-31T17:48:24Z</dcterms:modified>
  <cp:category/>
  <cp:version/>
  <cp:contentType/>
  <cp:contentStatus/>
</cp:coreProperties>
</file>