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Director Benefits EOAA\Benefits\BENEFITS\Open Enrollment 2024\"/>
    </mc:Choice>
  </mc:AlternateContent>
  <xr:revisionPtr revIDLastSave="0" documentId="13_ncr:1_{3097CF95-1EFB-4D13-AE06-A06C9B24CE72}" xr6:coauthVersionLast="47" xr6:coauthVersionMax="47" xr10:uidLastSave="{00000000-0000-0000-0000-000000000000}"/>
  <bookViews>
    <workbookView xWindow="28680" yWindow="6765" windowWidth="29040" windowHeight="15720" activeTab="2" xr2:uid="{00000000-000D-0000-FFFF-FFFF00000000}"/>
  </bookViews>
  <sheets>
    <sheet name="Model " sheetId="8" r:id="rId1"/>
    <sheet name="Model - AAUP" sheetId="25" r:id="rId2"/>
    <sheet name="Plan Info" sheetId="13" r:id="rId3"/>
    <sheet name="Emp Cont Table " sheetId="14" state="hidden" r:id="rId4"/>
    <sheet name="Emp Cont Table - AAUP" sheetId="18" state="hidden" r:id="rId5"/>
    <sheet name="Lists" sheetId="12" state="hidden" r:id="rId6"/>
    <sheet name="Notes" sheetId="16" state="hidden" r:id="rId7"/>
    <sheet name="PW" sheetId="15" state="hidden" r:id="rId8"/>
    <sheet name="Example - Non Bargaining" sheetId="19" state="hidden" r:id="rId9"/>
    <sheet name="Example - Bargaining" sheetId="24" state="hidden" r:id="rId10"/>
  </sheets>
  <definedNames>
    <definedName name="_xlnm.Print_Area" localSheetId="9">'Example - Bargaining'!$A$1:$L$41</definedName>
    <definedName name="_xlnm.Print_Area" localSheetId="8">'Example - Non Bargaining'!$A$1:$H$40</definedName>
    <definedName name="_xlnm.Print_Area" localSheetId="0">'Model '!$A$1:$F$37</definedName>
    <definedName name="_xlnm.Print_Area" localSheetId="1">'Model - AAUP'!$A$1:$H$37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25" l="1"/>
  <c r="D27" i="25" l="1"/>
  <c r="D34" i="25" s="1"/>
  <c r="D27" i="8"/>
  <c r="D23" i="25"/>
  <c r="D31" i="25" s="1"/>
  <c r="B24" i="25"/>
  <c r="B23" i="25"/>
  <c r="N33" i="25" l="1"/>
  <c r="A41" i="25"/>
  <c r="I33" i="25"/>
  <c r="B26" i="25"/>
  <c r="B25" i="25"/>
  <c r="I11" i="25"/>
  <c r="D18" i="25" l="1"/>
  <c r="D20" i="25" s="1"/>
  <c r="D30" i="25" s="1"/>
  <c r="D33" i="25"/>
  <c r="B32" i="25"/>
  <c r="B31" i="25"/>
  <c r="B18" i="25"/>
  <c r="B20" i="25" s="1"/>
  <c r="B30" i="25" s="1"/>
  <c r="B23" i="8"/>
  <c r="B33" i="25" l="1"/>
  <c r="B35" i="25" s="1"/>
  <c r="D35" i="25"/>
  <c r="J39" i="24"/>
  <c r="L20" i="24"/>
  <c r="F39" i="24"/>
  <c r="H20" i="24"/>
  <c r="I35" i="25" l="1"/>
  <c r="B39" i="24"/>
  <c r="D20" i="24"/>
  <c r="L39" i="24"/>
  <c r="H39" i="24"/>
  <c r="D39" i="24"/>
  <c r="L33" i="24"/>
  <c r="L37" i="24" s="1"/>
  <c r="J33" i="24"/>
  <c r="J37" i="24" s="1"/>
  <c r="J41" i="24" s="1"/>
  <c r="H33" i="24"/>
  <c r="H37" i="24" s="1"/>
  <c r="F33" i="24"/>
  <c r="F37" i="24" s="1"/>
  <c r="F41" i="24" s="1"/>
  <c r="D33" i="24"/>
  <c r="D37" i="24" s="1"/>
  <c r="B33" i="24"/>
  <c r="B37" i="24" s="1"/>
  <c r="D41" i="24" l="1"/>
  <c r="H41" i="24"/>
  <c r="B15" i="25"/>
  <c r="D15" i="25"/>
  <c r="L41" i="24"/>
  <c r="B41" i="24"/>
  <c r="F38" i="19"/>
  <c r="H20" i="19"/>
  <c r="B38" i="19"/>
  <c r="D20" i="19"/>
  <c r="H38" i="19"/>
  <c r="D38" i="19"/>
  <c r="H32" i="19"/>
  <c r="H36" i="19" s="1"/>
  <c r="F32" i="19"/>
  <c r="F36" i="19" s="1"/>
  <c r="D32" i="19"/>
  <c r="D36" i="19" s="1"/>
  <c r="B32" i="19"/>
  <c r="B36" i="19" s="1"/>
  <c r="D40" i="19" l="1"/>
  <c r="H40" i="19"/>
  <c r="F40" i="19"/>
  <c r="B40" i="19"/>
  <c r="D14" i="19"/>
  <c r="D18" i="19" s="1"/>
  <c r="D22" i="19" s="1"/>
  <c r="B14" i="19"/>
  <c r="B18" i="19" s="1"/>
  <c r="H14" i="19"/>
  <c r="H18" i="19" s="1"/>
  <c r="H22" i="19" s="1"/>
  <c r="F14" i="19"/>
  <c r="F18" i="19" s="1"/>
  <c r="F22" i="19" s="1"/>
  <c r="J20" i="24"/>
  <c r="F20" i="24"/>
  <c r="B20" i="24"/>
  <c r="L14" i="24"/>
  <c r="L18" i="24" s="1"/>
  <c r="L22" i="24" s="1"/>
  <c r="J14" i="24"/>
  <c r="J18" i="24"/>
  <c r="J22" i="24" s="1"/>
  <c r="H14" i="24"/>
  <c r="H18" i="24" s="1"/>
  <c r="H22" i="24" s="1"/>
  <c r="F14" i="24"/>
  <c r="F18" i="24" s="1"/>
  <c r="D14" i="24"/>
  <c r="D18" i="24" s="1"/>
  <c r="D22" i="24" s="1"/>
  <c r="B14" i="24"/>
  <c r="B18" i="24" s="1"/>
  <c r="B20" i="19"/>
  <c r="I7" i="13"/>
  <c r="H7" i="13"/>
  <c r="D25" i="8"/>
  <c r="B25" i="8"/>
  <c r="F7" i="13"/>
  <c r="E7" i="13"/>
  <c r="C7" i="13"/>
  <c r="B7" i="13"/>
  <c r="G33" i="8"/>
  <c r="G11" i="8"/>
  <c r="B24" i="8"/>
  <c r="B26" i="8"/>
  <c r="D23" i="8"/>
  <c r="L33" i="8" s="1"/>
  <c r="B31" i="8"/>
  <c r="D34" i="8"/>
  <c r="F22" i="24" l="1"/>
  <c r="D20" i="8"/>
  <c r="D30" i="8" s="1"/>
  <c r="B20" i="8"/>
  <c r="B30" i="8" s="1"/>
  <c r="B22" i="24"/>
  <c r="B32" i="8"/>
  <c r="B33" i="8" s="1"/>
  <c r="D31" i="8"/>
  <c r="B22" i="19"/>
  <c r="D33" i="8" l="1"/>
  <c r="D35" i="8" s="1"/>
  <c r="B35" i="8"/>
  <c r="G35" i="8" l="1"/>
  <c r="D15" i="8" s="1"/>
  <c r="B15" i="8" l="1"/>
</calcChain>
</file>

<file path=xl/sharedStrings.xml><?xml version="1.0" encoding="utf-8"?>
<sst xmlns="http://schemas.openxmlformats.org/spreadsheetml/2006/main" count="220" uniqueCount="85">
  <si>
    <t>Kent State University</t>
  </si>
  <si>
    <t>Healthcare Cost Modeler</t>
  </si>
  <si>
    <t>2018 Benefits Year</t>
  </si>
  <si>
    <t>Enter your annual salary</t>
  </si>
  <si>
    <t>Employee Per Pay Contribution</t>
  </si>
  <si>
    <t># of Pays</t>
  </si>
  <si>
    <t>Single</t>
  </si>
  <si>
    <t>Family</t>
  </si>
  <si>
    <t>Single or Family (Pick from Drop Down)</t>
  </si>
  <si>
    <t>MMO</t>
  </si>
  <si>
    <t>Employer HSA Contribution</t>
  </si>
  <si>
    <t>Estimated Cost to Employee</t>
  </si>
  <si>
    <t>Deductible</t>
  </si>
  <si>
    <t>Coinsurance</t>
  </si>
  <si>
    <t>Salary Range</t>
  </si>
  <si>
    <t>&lt;--Tier</t>
  </si>
  <si>
    <t>Tier</t>
  </si>
  <si>
    <t>HDHP Plan                               (High Deductible)</t>
  </si>
  <si>
    <t>N/A</t>
  </si>
  <si>
    <t>Employer Provided HSA Contribution</t>
  </si>
  <si>
    <t>Coinsurance Medical</t>
  </si>
  <si>
    <t>&lt;---Min</t>
  </si>
  <si>
    <t>Employee Premium Contribution</t>
  </si>
  <si>
    <t>Major Plan Attributes</t>
  </si>
  <si>
    <t>Total Employee Premium Contribution</t>
  </si>
  <si>
    <t>Enter Your Information Below:</t>
  </si>
  <si>
    <t>Based on the information you entered, the following plan is the most cost advantageous:</t>
  </si>
  <si>
    <t>Kent</t>
  </si>
  <si>
    <t xml:space="preserve">This worksheet will assist you in determining the most cost advantageous plan. Please note that the most cost advantageous plan may not be the best plan for you. Your actual medical and pharmacy expenses can vary drastically from the information that you enter into this spreadsheet. In addition, the most cost advantageous plan may exclude your preferred providers. Therefore, please consider the network as well as personal risk tolerance when making your selection. </t>
  </si>
  <si>
    <t>True OOP Max</t>
  </si>
  <si>
    <t>OOP Max Limit (Combined Medical and Pharmacy)</t>
  </si>
  <si>
    <t>Additional Pharmacy Costs 85/60</t>
  </si>
  <si>
    <t>Additional Pharmacy Costs HDHP</t>
  </si>
  <si>
    <t>Coinsurance Limit</t>
  </si>
  <si>
    <t>Pharmacy (In Excess of Deductible and Coinsurance)</t>
  </si>
  <si>
    <t>PPO                                        85/60 Plan</t>
  </si>
  <si>
    <t>85/60</t>
  </si>
  <si>
    <t>RX is accrued at 10% from day 1. RX treated separately from Medical.</t>
  </si>
  <si>
    <t xml:space="preserve">This plan does have an OOP limit, although copays are counted towards that limit, I did not model that out. </t>
  </si>
  <si>
    <t>HDHP Plan</t>
  </si>
  <si>
    <t>Deductible is combined, medical and pharmacy</t>
  </si>
  <si>
    <t xml:space="preserve">Medical and Pharmacy accrue at 100% until the deductible is met. </t>
  </si>
  <si>
    <t>In terms of order, I assumed that medical would accrue first, then RX. Once hitting the deductible, 100% medical is paid. RX continues to accrue at 10% until OOP limit is hit.</t>
  </si>
  <si>
    <t xml:space="preserve">Deductible and Coinsurance is accrued at 100% of Medical only. </t>
  </si>
  <si>
    <t>PPO 85/60 Plan</t>
  </si>
  <si>
    <t>85/60 Plan</t>
  </si>
  <si>
    <t>Remaining Deductible</t>
  </si>
  <si>
    <t>100% After Deductible is Met</t>
  </si>
  <si>
    <t>In-Network, Medical Expense Only</t>
  </si>
  <si>
    <t>Description</t>
  </si>
  <si>
    <t>Subtotal</t>
  </si>
  <si>
    <t>Example: Premium #1 (Salary Level 39,001 - 46,000)</t>
  </si>
  <si>
    <t>Total</t>
  </si>
  <si>
    <t>HDHP Plan(High Deductible)</t>
  </si>
  <si>
    <t>Healthcare Cost Example</t>
  </si>
  <si>
    <t>90/70 Plan</t>
  </si>
  <si>
    <t>80/60 Plan</t>
  </si>
  <si>
    <t>Billed charges from the prior year can be found by logging in to your carrier's website(Caremark).</t>
  </si>
  <si>
    <t>Out of pocket max (Excludes Deductible) Medical</t>
  </si>
  <si>
    <t>Out of pocket max (Excludes Deductible) RX</t>
  </si>
  <si>
    <t>Additional Pharmacy Costs PPO</t>
  </si>
  <si>
    <t>Kent State University HSA Funding</t>
  </si>
  <si>
    <t>Coinsurance (Medical)</t>
  </si>
  <si>
    <t>EXAMPLE #1</t>
  </si>
  <si>
    <t>Total Annual Employee Cost</t>
  </si>
  <si>
    <t>The below example illustrates the estimated, annual cost for each medical plan for single coverage assuming a salary of $43,000 and billed medical charges of $1,500.</t>
  </si>
  <si>
    <t>The below example illustrates the estimated, annual cost for each medical plan for family coverage assuming a salary of $43,000 and billed medical charges of $3,000.</t>
  </si>
  <si>
    <t>EXAMPLE #2</t>
  </si>
  <si>
    <t>Total Estimated Cost to Employee (Includes Premium)</t>
  </si>
  <si>
    <t>In-Network, Medical and Pharmacy Only (Non-Bargaining Unit)</t>
  </si>
  <si>
    <t>Bargaining Unit</t>
  </si>
  <si>
    <t>Non-Bargaining Unit</t>
  </si>
  <si>
    <t>MMO (https://member.medmutual.com); Caremark (www.caremark.com)</t>
  </si>
  <si>
    <r>
      <rPr>
        <b/>
        <i/>
        <sz val="8"/>
        <color theme="1"/>
        <rFont val="Calibri"/>
        <family val="2"/>
        <scheme val="minor"/>
      </rPr>
      <t xml:space="preserve">Disclaimer: </t>
    </r>
    <r>
      <rPr>
        <i/>
        <sz val="8"/>
        <color theme="1"/>
        <rFont val="Calibri"/>
        <family val="2"/>
        <scheme val="minor"/>
      </rPr>
      <t xml:space="preserve">This spreadsheet is to be used as a guide only. Cost calculations are for In-network only and Pharmacy costs are assumed to accrue at 10% coinsurance. In addition, this model does not account for unique circumstances attributed to the embedded aspect of the HDHP family plan. Embedded deductibles have two components: the individual deductible for each family member, and the family deductible. The actual costs associated with your specific situation will vary. Please contact MMO and speak to a healthcare professional about your specific circumstances.  MMO 1-800-382-5729. </t>
    </r>
  </si>
  <si>
    <t>In-Network, Medical and Pharmacy Only (AAUP)</t>
  </si>
  <si>
    <r>
      <t xml:space="preserve">Disclaimer: </t>
    </r>
    <r>
      <rPr>
        <i/>
        <sz val="8"/>
        <color theme="1"/>
        <rFont val="Calibri"/>
        <family val="2"/>
        <scheme val="minor"/>
      </rPr>
      <t xml:space="preserve">This spreadsheet is to be used as a guide only. Cost calculations are for In-network only and Pharmacy costs are assumed to accrue at 10% coinsurance. In addition, this model does not account for unique circumstances attributed to the embedded aspect of the HDHP family plan. Embedded deductibles have two components: the individual deductible for each family member, and the family deductible. The actual costs associated with your specific situation will vary. Please contact MMO and speak to a healthcare professional about your specific circumstances.  MMO 1-800-382-5729. </t>
    </r>
  </si>
  <si>
    <t>Billed charges from the prior year can be found by logging in to your carrier's website(MMO). OR, If you wish to assume that you meet your full deductible and coinsurance maximum, please enter $11,000 for Single and $22,000 for Family.</t>
  </si>
  <si>
    <r>
      <t xml:space="preserve">Billed charges from the prior year can be found by logging in to your carrier's website(MMO). </t>
    </r>
    <r>
      <rPr>
        <b/>
        <i/>
        <sz val="10"/>
        <color theme="1"/>
        <rFont val="Calibri"/>
        <family val="2"/>
        <scheme val="minor"/>
      </rPr>
      <t>OR</t>
    </r>
    <r>
      <rPr>
        <i/>
        <sz val="10"/>
        <color theme="1"/>
        <rFont val="Calibri"/>
        <family val="2"/>
        <scheme val="minor"/>
      </rPr>
      <t>, If you wish to assume that you meet your full deductible and coinsurance maximum, please enter $11,000 for Single and $22,000 for Family.</t>
    </r>
  </si>
  <si>
    <t>PPO 85/60 Plan - AAUP</t>
  </si>
  <si>
    <t>Updated with FY2020</t>
  </si>
  <si>
    <t>Updated with FY2021</t>
  </si>
  <si>
    <t>Enter your expected pharmacy expenses (Billed charges) for the 2023 benefits year.</t>
  </si>
  <si>
    <t>2024 Benefits Year</t>
  </si>
  <si>
    <t xml:space="preserve">Enter your expected medical expenses (Billed charges) for the 2023 benefits year(Exclude wellness visits and preventative care). </t>
  </si>
  <si>
    <t>Updated for 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</si>
</sst>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1" formatCode="_(* #,##0_);_(* \(#,##0\);_(* &quot;-&quot;_);_(@_)"/>
    <numFmt numFmtId="43" formatCode="_(* #,##0.00_);_(* \(#,##0.00\);_(* &quot;-&quot;??_);_(@_)"/>
  </numFmts>
  <fonts count="20" x14ac:knownFonts="1">
    <font>
      <sz val="11"/>
      <color theme="1"/>
      <name val="Calibri"/>
      <family val="2"/>
      <scheme val="minor"/>
    </font>
    <font>
      <b/>
      <sz val="11"/>
      <color theme="1"/>
      <name val="Calibri"/>
      <family val="2"/>
      <scheme val="minor"/>
    </font>
    <font>
      <b/>
      <sz val="16"/>
      <color theme="1"/>
      <name val="Tahoma"/>
      <family val="2"/>
    </font>
    <font>
      <b/>
      <sz val="14"/>
      <color theme="1"/>
      <name val="Tahoma"/>
      <family val="2"/>
    </font>
    <font>
      <b/>
      <sz val="12"/>
      <color theme="1"/>
      <name val="Calibri"/>
      <family val="2"/>
      <scheme val="minor"/>
    </font>
    <font>
      <u/>
      <sz val="11"/>
      <color theme="1"/>
      <name val="Calibri"/>
      <family val="2"/>
      <scheme val="minor"/>
    </font>
    <font>
      <sz val="11"/>
      <color theme="1"/>
      <name val="Calibri"/>
      <family val="2"/>
      <scheme val="minor"/>
    </font>
    <font>
      <sz val="10"/>
      <color theme="1"/>
      <name val="Tahoma"/>
      <family val="2"/>
    </font>
    <font>
      <b/>
      <sz val="11"/>
      <color rgb="FF0000FF"/>
      <name val="Calibri"/>
      <family val="2"/>
      <scheme val="minor"/>
    </font>
    <font>
      <sz val="11"/>
      <color rgb="FF0000FF"/>
      <name val="Calibri"/>
      <family val="2"/>
      <scheme val="minor"/>
    </font>
    <font>
      <i/>
      <sz val="8"/>
      <color theme="1"/>
      <name val="Calibri"/>
      <family val="2"/>
      <scheme val="minor"/>
    </font>
    <font>
      <sz val="11"/>
      <color rgb="FFFF0000"/>
      <name val="Calibri"/>
      <family val="2"/>
      <scheme val="minor"/>
    </font>
    <font>
      <sz val="11"/>
      <color rgb="FFC00000"/>
      <name val="Calibri"/>
      <family val="2"/>
      <scheme val="minor"/>
    </font>
    <font>
      <b/>
      <sz val="20"/>
      <color rgb="FFC00000"/>
      <name val="Wingdings 2"/>
      <family val="1"/>
      <charset val="2"/>
    </font>
    <font>
      <b/>
      <i/>
      <sz val="8"/>
      <color theme="1"/>
      <name val="Calibri"/>
      <family val="2"/>
      <scheme val="minor"/>
    </font>
    <font>
      <b/>
      <u/>
      <sz val="11"/>
      <color theme="1"/>
      <name val="Calibri"/>
      <family val="2"/>
      <scheme val="minor"/>
    </font>
    <font>
      <i/>
      <sz val="11"/>
      <color theme="1"/>
      <name val="Calibri"/>
      <family val="2"/>
      <scheme val="minor"/>
    </font>
    <font>
      <i/>
      <sz val="10"/>
      <color theme="1"/>
      <name val="Calibri"/>
      <family val="2"/>
      <scheme val="minor"/>
    </font>
    <font>
      <u/>
      <sz val="11"/>
      <color theme="10"/>
      <name val="Calibri"/>
      <family val="2"/>
      <scheme val="minor"/>
    </font>
    <font>
      <b/>
      <i/>
      <sz val="10"/>
      <color theme="1"/>
      <name val="Calibri"/>
      <family val="2"/>
      <scheme val="minor"/>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60">
    <xf numFmtId="0" fontId="0" fillId="0" borderId="0" xfId="0"/>
    <xf numFmtId="0" fontId="1" fillId="0" borderId="2" xfId="0" applyFont="1" applyBorder="1" applyAlignment="1">
      <alignment horizontal="center"/>
    </xf>
    <xf numFmtId="0" fontId="1" fillId="0" borderId="0" xfId="0" applyFont="1" applyAlignment="1">
      <alignment horizontal="center"/>
    </xf>
    <xf numFmtId="6" fontId="0" fillId="0" borderId="0" xfId="0" applyNumberFormat="1"/>
    <xf numFmtId="9" fontId="0" fillId="0" borderId="0" xfId="0" applyNumberFormat="1"/>
    <xf numFmtId="43" fontId="0" fillId="0" borderId="0" xfId="1" applyFont="1"/>
    <xf numFmtId="0" fontId="0" fillId="0" borderId="0" xfId="0" applyAlignment="1">
      <alignment horizontal="center"/>
    </xf>
    <xf numFmtId="0" fontId="11" fillId="0" borderId="0" xfId="0" applyFont="1"/>
    <xf numFmtId="0" fontId="12" fillId="0" borderId="0" xfId="0" applyFont="1" applyAlignment="1">
      <alignment wrapText="1"/>
    </xf>
    <xf numFmtId="0" fontId="13" fillId="0" borderId="0" xfId="0" applyFont="1" applyAlignment="1">
      <alignment horizontal="center"/>
    </xf>
    <xf numFmtId="0" fontId="1" fillId="0" borderId="0" xfId="0" applyFont="1" applyAlignment="1">
      <alignment wrapText="1"/>
    </xf>
    <xf numFmtId="0" fontId="0" fillId="0" borderId="2" xfId="0" applyBorder="1"/>
    <xf numFmtId="0" fontId="1" fillId="0" borderId="0" xfId="0" applyFont="1"/>
    <xf numFmtId="6" fontId="1" fillId="0" borderId="0" xfId="0" applyNumberFormat="1" applyFont="1"/>
    <xf numFmtId="9" fontId="0" fillId="0" borderId="0" xfId="4" applyFont="1" applyProtection="1"/>
    <xf numFmtId="6" fontId="0" fillId="0" borderId="2" xfId="0" applyNumberFormat="1" applyBorder="1"/>
    <xf numFmtId="0" fontId="9" fillId="0" borderId="0" xfId="0" applyFont="1" applyAlignment="1" applyProtection="1">
      <alignment horizontal="right"/>
      <protection locked="0"/>
    </xf>
    <xf numFmtId="6" fontId="9" fillId="0" borderId="0" xfId="0" applyNumberFormat="1" applyFont="1" applyProtection="1">
      <protection locked="0"/>
    </xf>
    <xf numFmtId="6" fontId="9" fillId="0" borderId="0" xfId="0" applyNumberFormat="1" applyFont="1" applyAlignment="1" applyProtection="1">
      <alignment vertical="center"/>
      <protection locked="0"/>
    </xf>
    <xf numFmtId="6" fontId="9" fillId="0" borderId="2" xfId="0" applyNumberFormat="1" applyFont="1" applyBorder="1" applyAlignment="1" applyProtection="1">
      <alignment vertical="center"/>
      <protection locked="0"/>
    </xf>
    <xf numFmtId="6" fontId="0" fillId="0" borderId="2" xfId="0" applyNumberFormat="1" applyBorder="1" applyAlignment="1">
      <alignment horizontal="right"/>
    </xf>
    <xf numFmtId="6" fontId="0" fillId="0" borderId="0" xfId="0" applyNumberFormat="1" applyAlignment="1">
      <alignment horizontal="right"/>
    </xf>
    <xf numFmtId="9" fontId="0" fillId="0" borderId="0" xfId="4" applyFont="1" applyAlignment="1" applyProtection="1">
      <alignment horizontal="right"/>
    </xf>
    <xf numFmtId="0" fontId="0" fillId="0" borderId="0" xfId="0" applyAlignment="1">
      <alignment horizontal="right"/>
    </xf>
    <xf numFmtId="6" fontId="13" fillId="0" borderId="0" xfId="0" applyNumberFormat="1" applyFont="1" applyAlignment="1">
      <alignment horizontal="center"/>
    </xf>
    <xf numFmtId="0" fontId="1" fillId="0" borderId="0" xfId="0" applyFont="1" applyAlignment="1">
      <alignment horizontal="center" wrapText="1"/>
    </xf>
    <xf numFmtId="2" fontId="0" fillId="0" borderId="0" xfId="0" applyNumberFormat="1"/>
    <xf numFmtId="0" fontId="2" fillId="0" borderId="0" xfId="0" applyFont="1"/>
    <xf numFmtId="41" fontId="0" fillId="0" borderId="0" xfId="0" applyNumberFormat="1"/>
    <xf numFmtId="0" fontId="3" fillId="0" borderId="0" xfId="0" applyFont="1"/>
    <xf numFmtId="0" fontId="4" fillId="0" borderId="0" xfId="0" applyFont="1"/>
    <xf numFmtId="0" fontId="8" fillId="0" borderId="1" xfId="0" applyFont="1" applyBorder="1"/>
    <xf numFmtId="0" fontId="5" fillId="0" borderId="1" xfId="0" applyFont="1" applyBorder="1"/>
    <xf numFmtId="0" fontId="15" fillId="0" borderId="0" xfId="0" applyFont="1"/>
    <xf numFmtId="6" fontId="1" fillId="0" borderId="6" xfId="0" applyNumberFormat="1" applyFont="1" applyBorder="1"/>
    <xf numFmtId="0" fontId="10"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2" xfId="0" applyBorder="1" applyAlignment="1">
      <alignment vertical="center"/>
    </xf>
    <xf numFmtId="6" fontId="0" fillId="0" borderId="3" xfId="0" applyNumberFormat="1" applyBorder="1"/>
    <xf numFmtId="0" fontId="0" fillId="0" borderId="4" xfId="0" applyBorder="1" applyAlignment="1">
      <alignment horizontal="left"/>
    </xf>
    <xf numFmtId="0" fontId="0" fillId="0" borderId="4" xfId="0" applyBorder="1"/>
    <xf numFmtId="0" fontId="0" fillId="0" borderId="5" xfId="0" applyBorder="1"/>
    <xf numFmtId="0" fontId="18" fillId="0" borderId="0" xfId="5" applyProtection="1"/>
    <xf numFmtId="0" fontId="1" fillId="0" borderId="2" xfId="0" applyFont="1" applyBorder="1" applyAlignment="1">
      <alignment horizontal="center" wrapText="1"/>
    </xf>
    <xf numFmtId="6" fontId="13" fillId="0" borderId="2" xfId="0" applyNumberFormat="1" applyFont="1" applyBorder="1" applyAlignment="1">
      <alignment horizontal="center"/>
    </xf>
    <xf numFmtId="0" fontId="10" fillId="0" borderId="0" xfId="0" applyFont="1" applyAlignment="1">
      <alignment horizontal="left" vertical="center" wrapText="1"/>
    </xf>
    <xf numFmtId="0" fontId="17" fillId="0" borderId="0" xfId="0" applyFont="1" applyAlignment="1">
      <alignment horizontal="left" vertical="center" wrapText="1"/>
    </xf>
    <xf numFmtId="0" fontId="17" fillId="0" borderId="2" xfId="0" applyFont="1" applyBorder="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0" fillId="0" borderId="2" xfId="0" applyBorder="1" applyAlignment="1">
      <alignment horizontal="left" vertical="center" wrapText="1"/>
    </xf>
    <xf numFmtId="0" fontId="9" fillId="0" borderId="0" xfId="0" applyFont="1" applyAlignment="1">
      <alignment horizontal="center"/>
    </xf>
    <xf numFmtId="0" fontId="0" fillId="0" borderId="2" xfId="0" applyBorder="1" applyAlignment="1">
      <alignment horizontal="center"/>
    </xf>
    <xf numFmtId="0" fontId="0" fillId="0" borderId="0" xfId="0" applyAlignment="1">
      <alignment horizontal="center"/>
    </xf>
    <xf numFmtId="0" fontId="1" fillId="0" borderId="2" xfId="0" applyFont="1" applyBorder="1" applyAlignment="1">
      <alignment horizontal="center"/>
    </xf>
    <xf numFmtId="0" fontId="17" fillId="0" borderId="0" xfId="0" applyFont="1" applyAlignment="1">
      <alignment horizontal="left" wrapText="1"/>
    </xf>
    <xf numFmtId="0" fontId="0" fillId="0" borderId="0" xfId="0" applyAlignment="1">
      <alignment horizontal="center" wrapText="1"/>
    </xf>
  </cellXfs>
  <cellStyles count="6">
    <cellStyle name="Comma" xfId="1" builtinId="3"/>
    <cellStyle name="Comma 2" xfId="3" xr:uid="{00000000-0005-0000-0000-000001000000}"/>
    <cellStyle name="Hyperlink" xfId="5" builtinId="8"/>
    <cellStyle name="Normal" xfId="0" builtinId="0"/>
    <cellStyle name="Normal 2" xfId="2" xr:uid="{00000000-0005-0000-0000-000004000000}"/>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267847</xdr:colOff>
      <xdr:row>0</xdr:row>
      <xdr:rowOff>0</xdr:rowOff>
    </xdr:from>
    <xdr:to>
      <xdr:col>5</xdr:col>
      <xdr:colOff>670561</xdr:colOff>
      <xdr:row>2</xdr:row>
      <xdr:rowOff>45720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4527" y="0"/>
          <a:ext cx="1728594" cy="525780"/>
        </a:xfrm>
        <a:prstGeom prst="rect">
          <a:avLst/>
        </a:prstGeom>
      </xdr:spPr>
    </xdr:pic>
    <xdr:clientData/>
  </xdr:twoCellAnchor>
  <xdr:twoCellAnchor>
    <xdr:from>
      <xdr:col>2</xdr:col>
      <xdr:colOff>15240</xdr:colOff>
      <xdr:row>11</xdr:row>
      <xdr:rowOff>586740</xdr:rowOff>
    </xdr:from>
    <xdr:to>
      <xdr:col>2</xdr:col>
      <xdr:colOff>106680</xdr:colOff>
      <xdr:row>11</xdr:row>
      <xdr:rowOff>647700</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rot="10800000">
          <a:off x="4130040" y="355092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7620</xdr:colOff>
      <xdr:row>12</xdr:row>
      <xdr:rowOff>320040</xdr:rowOff>
    </xdr:from>
    <xdr:to>
      <xdr:col>2</xdr:col>
      <xdr:colOff>99060</xdr:colOff>
      <xdr:row>12</xdr:row>
      <xdr:rowOff>381000</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3802380" y="393954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229747</xdr:colOff>
      <xdr:row>0</xdr:row>
      <xdr:rowOff>15240</xdr:rowOff>
    </xdr:from>
    <xdr:to>
      <xdr:col>7</xdr:col>
      <xdr:colOff>1021081</xdr:colOff>
      <xdr:row>2</xdr:row>
      <xdr:rowOff>60960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3827" y="15240"/>
          <a:ext cx="1728594" cy="525780"/>
        </a:xfrm>
        <a:prstGeom prst="rect">
          <a:avLst/>
        </a:prstGeom>
      </xdr:spPr>
    </xdr:pic>
    <xdr:clientData/>
  </xdr:twoCellAnchor>
  <xdr:twoCellAnchor>
    <xdr:from>
      <xdr:col>2</xdr:col>
      <xdr:colOff>15240</xdr:colOff>
      <xdr:row>11</xdr:row>
      <xdr:rowOff>365760</xdr:rowOff>
    </xdr:from>
    <xdr:to>
      <xdr:col>2</xdr:col>
      <xdr:colOff>106680</xdr:colOff>
      <xdr:row>11</xdr:row>
      <xdr:rowOff>426720</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rot="10800000">
          <a:off x="3992880" y="304038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7620</xdr:colOff>
      <xdr:row>12</xdr:row>
      <xdr:rowOff>243840</xdr:rowOff>
    </xdr:from>
    <xdr:to>
      <xdr:col>2</xdr:col>
      <xdr:colOff>99060</xdr:colOff>
      <xdr:row>12</xdr:row>
      <xdr:rowOff>304800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3985260" y="3688080"/>
          <a:ext cx="91440" cy="60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182880</xdr:colOff>
      <xdr:row>0</xdr:row>
      <xdr:rowOff>0</xdr:rowOff>
    </xdr:from>
    <xdr:to>
      <xdr:col>5</xdr:col>
      <xdr:colOff>766569</xdr:colOff>
      <xdr:row>2</xdr:row>
      <xdr:rowOff>45720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0"/>
          <a:ext cx="1711449" cy="525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121920</xdr:colOff>
      <xdr:row>0</xdr:row>
      <xdr:rowOff>0</xdr:rowOff>
    </xdr:from>
    <xdr:to>
      <xdr:col>9</xdr:col>
      <xdr:colOff>808751</xdr:colOff>
      <xdr:row>2</xdr:row>
      <xdr:rowOff>45720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1738391"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0"/>
  <sheetViews>
    <sheetView topLeftCell="A12" zoomScaleNormal="100" workbookViewId="0">
      <selection activeCell="R12" sqref="R12:U17"/>
    </sheetView>
  </sheetViews>
  <sheetFormatPr defaultColWidth="8.85546875" defaultRowHeight="15" x14ac:dyDescent="0.25"/>
  <cols>
    <col min="1" max="1" width="48.140625" customWidth="1"/>
    <col min="2" max="2" width="11.85546875" customWidth="1"/>
    <col min="3" max="3" width="1.7109375" customWidth="1"/>
    <col min="4" max="4" width="12.28515625" customWidth="1"/>
    <col min="5" max="5" width="7" bestFit="1" customWidth="1"/>
    <col min="6" max="6" width="15.85546875" customWidth="1"/>
    <col min="7" max="13" width="8.85546875" hidden="1" customWidth="1"/>
    <col min="14" max="18" width="8.85546875" customWidth="1"/>
  </cols>
  <sheetData>
    <row r="1" spans="1:8" ht="19.5" x14ac:dyDescent="0.25">
      <c r="A1" s="27" t="s">
        <v>0</v>
      </c>
      <c r="B1" s="28"/>
    </row>
    <row r="2" spans="1:8" ht="18" x14ac:dyDescent="0.25">
      <c r="A2" s="29" t="s">
        <v>1</v>
      </c>
      <c r="B2" s="28"/>
    </row>
    <row r="3" spans="1:8" ht="15.75" x14ac:dyDescent="0.25">
      <c r="A3" s="30" t="s">
        <v>82</v>
      </c>
      <c r="B3" s="28"/>
    </row>
    <row r="4" spans="1:8" ht="15.75" thickBot="1" x14ac:dyDescent="0.3">
      <c r="A4" s="31" t="s">
        <v>69</v>
      </c>
      <c r="B4" s="32"/>
      <c r="C4" s="32"/>
      <c r="D4" s="32"/>
      <c r="E4" s="32"/>
      <c r="F4" s="32"/>
    </row>
    <row r="6" spans="1:8" ht="44.65" customHeight="1" x14ac:dyDescent="0.25">
      <c r="A6" s="47" t="s">
        <v>28</v>
      </c>
      <c r="B6" s="47"/>
      <c r="C6" s="47"/>
      <c r="D6" s="47"/>
      <c r="E6" s="47"/>
      <c r="F6" s="47"/>
    </row>
    <row r="7" spans="1:8" ht="54.6" customHeight="1" x14ac:dyDescent="0.25">
      <c r="A7" s="47" t="s">
        <v>73</v>
      </c>
      <c r="B7" s="47"/>
      <c r="C7" s="47"/>
      <c r="D7" s="47"/>
      <c r="E7" s="47"/>
      <c r="F7" s="47"/>
    </row>
    <row r="8" spans="1:8" ht="8.65" customHeight="1" x14ac:dyDescent="0.25">
      <c r="A8" s="35"/>
      <c r="B8" s="35"/>
      <c r="C8" s="35"/>
      <c r="D8" s="35"/>
      <c r="E8" s="35"/>
      <c r="F8" s="35"/>
    </row>
    <row r="9" spans="1:8" x14ac:dyDescent="0.25">
      <c r="A9" s="12" t="s">
        <v>25</v>
      </c>
    </row>
    <row r="10" spans="1:8" x14ac:dyDescent="0.25">
      <c r="A10" t="s">
        <v>8</v>
      </c>
      <c r="B10" s="16" t="s">
        <v>7</v>
      </c>
    </row>
    <row r="11" spans="1:8" x14ac:dyDescent="0.25">
      <c r="A11" t="s">
        <v>3</v>
      </c>
      <c r="B11" s="17">
        <v>50000</v>
      </c>
      <c r="G11">
        <f>IF('Model '!B11&gt;'Emp Cont Table '!A17,12, IF('Model '!B11&gt;'Emp Cont Table '!A16,11,IF('Model '!B11&gt;'Emp Cont Table '!A15,10,IF('Model '!B11&gt;'Emp Cont Table '!A14,9,IF('Model '!B11&gt;'Emp Cont Table '!A13,8,IF('Model '!B11&gt;'Emp Cont Table '!A12,7,IF('Model '!B11&gt;'Emp Cont Table '!A11,6,IF('Model '!B11&gt;'Emp Cont Table '!A10,5,IF('Model '!B11&gt;'Emp Cont Table '!A9,4,IF('Model '!B11&gt;'Emp Cont Table '!A8,3,IF('Model '!B11&gt;'Emp Cont Table '!A7,2,IF('Model '!B11&gt;'Emp Cont Table '!A6,1))))))))))))</f>
        <v>6</v>
      </c>
      <c r="H11" t="s">
        <v>15</v>
      </c>
    </row>
    <row r="12" spans="1:8" ht="112.9" customHeight="1" x14ac:dyDescent="0.25">
      <c r="A12" s="36" t="s">
        <v>83</v>
      </c>
      <c r="B12" s="18">
        <v>10000</v>
      </c>
      <c r="C12" s="37"/>
      <c r="D12" s="48" t="s">
        <v>77</v>
      </c>
      <c r="E12" s="48"/>
      <c r="F12" s="48"/>
    </row>
    <row r="13" spans="1:8" ht="53.65" customHeight="1" x14ac:dyDescent="0.25">
      <c r="A13" s="38" t="s">
        <v>81</v>
      </c>
      <c r="B13" s="19">
        <v>300</v>
      </c>
      <c r="C13" s="39"/>
      <c r="D13" s="49" t="s">
        <v>57</v>
      </c>
      <c r="E13" s="49"/>
      <c r="F13" s="49"/>
    </row>
    <row r="14" spans="1:8" x14ac:dyDescent="0.25">
      <c r="B14" s="3"/>
    </row>
    <row r="15" spans="1:8" ht="31.5" x14ac:dyDescent="0.35">
      <c r="A15" s="8" t="s">
        <v>26</v>
      </c>
      <c r="B15" s="46" t="str">
        <f>IF(B35=$G$35,"P","")</f>
        <v/>
      </c>
      <c r="C15" s="46"/>
      <c r="D15" s="46" t="str">
        <f>IF(D35=$G$35,"P","")</f>
        <v>P</v>
      </c>
    </row>
    <row r="17" spans="1:10" ht="45" x14ac:dyDescent="0.25">
      <c r="A17" s="10" t="s">
        <v>22</v>
      </c>
      <c r="B17" s="45" t="s">
        <v>35</v>
      </c>
      <c r="C17" s="45"/>
      <c r="D17" s="45" t="s">
        <v>17</v>
      </c>
    </row>
    <row r="18" spans="1:10" x14ac:dyDescent="0.25">
      <c r="A18" t="s">
        <v>4</v>
      </c>
      <c r="B18" s="3">
        <v>195.71</v>
      </c>
      <c r="C18" s="3"/>
      <c r="D18" s="3">
        <v>101.47</v>
      </c>
    </row>
    <row r="19" spans="1:10" x14ac:dyDescent="0.25">
      <c r="A19" t="s">
        <v>5</v>
      </c>
      <c r="B19" s="11">
        <v>24</v>
      </c>
      <c r="D19" s="11">
        <v>24</v>
      </c>
    </row>
    <row r="20" spans="1:10" x14ac:dyDescent="0.25">
      <c r="A20" s="12" t="s">
        <v>24</v>
      </c>
      <c r="B20" s="13">
        <f>+B18*B19</f>
        <v>4697.04</v>
      </c>
      <c r="C20" s="13"/>
      <c r="D20" s="13">
        <f>+D18*D19</f>
        <v>2435.2799999999997</v>
      </c>
    </row>
    <row r="21" spans="1:10" x14ac:dyDescent="0.25">
      <c r="H21" s="3"/>
    </row>
    <row r="22" spans="1:10" x14ac:dyDescent="0.25">
      <c r="A22" s="12" t="s">
        <v>23</v>
      </c>
    </row>
    <row r="23" spans="1:10" x14ac:dyDescent="0.25">
      <c r="A23" t="s">
        <v>12</v>
      </c>
      <c r="B23" s="3">
        <f>IF(B10="single",'Plan Info'!B5,'Plan Info'!C5)</f>
        <v>600</v>
      </c>
      <c r="C23" s="3"/>
      <c r="D23" s="3">
        <f>+IF(B10="single",'Plan Info'!E5,'Plan Info'!F5)</f>
        <v>5400</v>
      </c>
    </row>
    <row r="24" spans="1:10" x14ac:dyDescent="0.25">
      <c r="A24" t="s">
        <v>33</v>
      </c>
      <c r="B24" s="3">
        <f>IF(B10="single",'Plan Info'!B6,'Plan Info'!C6)</f>
        <v>3000</v>
      </c>
      <c r="C24" s="3"/>
      <c r="D24" s="21" t="s">
        <v>18</v>
      </c>
      <c r="E24" s="3"/>
      <c r="F24" s="3"/>
    </row>
    <row r="25" spans="1:10" hidden="1" x14ac:dyDescent="0.25">
      <c r="A25" t="s">
        <v>30</v>
      </c>
      <c r="B25" s="3">
        <f>IF($B$10="Single",'Plan Info'!$B$10,'Plan Info'!$C$10)</f>
        <v>14700</v>
      </c>
      <c r="C25" s="3"/>
      <c r="D25" s="3">
        <f>IF($B$10="Single",'Plan Info'!$E$10,'Plan Info'!$F$10)</f>
        <v>13300</v>
      </c>
      <c r="E25" s="3"/>
      <c r="F25" s="3"/>
    </row>
    <row r="26" spans="1:10" x14ac:dyDescent="0.25">
      <c r="A26" t="s">
        <v>13</v>
      </c>
      <c r="B26" s="14">
        <f>IF(B10="single",'Plan Info'!B8,'Plan Info'!C8)</f>
        <v>0.15</v>
      </c>
      <c r="C26" s="14"/>
      <c r="D26" s="22" t="s">
        <v>18</v>
      </c>
    </row>
    <row r="27" spans="1:10" x14ac:dyDescent="0.25">
      <c r="A27" t="s">
        <v>10</v>
      </c>
      <c r="B27" s="23" t="s">
        <v>18</v>
      </c>
      <c r="C27" s="6"/>
      <c r="D27" s="3">
        <f>IF(B10="Single",1100,2000)</f>
        <v>2000</v>
      </c>
    </row>
    <row r="29" spans="1:10" x14ac:dyDescent="0.25">
      <c r="A29" s="12" t="s">
        <v>11</v>
      </c>
    </row>
    <row r="30" spans="1:10" ht="14.65" customHeight="1" x14ac:dyDescent="0.25">
      <c r="A30" t="s">
        <v>22</v>
      </c>
      <c r="B30" s="3">
        <f>+B20</f>
        <v>4697.04</v>
      </c>
      <c r="C30" s="3"/>
      <c r="D30" s="3">
        <f>+D20</f>
        <v>2435.2799999999997</v>
      </c>
    </row>
    <row r="31" spans="1:10" x14ac:dyDescent="0.25">
      <c r="A31" t="s">
        <v>12</v>
      </c>
      <c r="B31" s="3">
        <f>+IF($B$12&gt;B23,B23,$B$12)</f>
        <v>600</v>
      </c>
      <c r="C31" s="3"/>
      <c r="D31" s="3">
        <f>+IF((B12+B13)&gt;D23,D23,B12+B13)</f>
        <v>5400</v>
      </c>
      <c r="E31" s="3"/>
    </row>
    <row r="32" spans="1:10" x14ac:dyDescent="0.25">
      <c r="A32" t="s">
        <v>13</v>
      </c>
      <c r="B32" s="3">
        <f>+IF(($B$12-B23)*B26&gt;=B24,B24,IF($B$12&lt;B23,0,($B$12-B23)*B26))</f>
        <v>1410</v>
      </c>
      <c r="C32" s="3"/>
      <c r="D32" s="21" t="s">
        <v>18</v>
      </c>
      <c r="J32" s="3"/>
    </row>
    <row r="33" spans="1:16" x14ac:dyDescent="0.25">
      <c r="A33" t="s">
        <v>34</v>
      </c>
      <c r="B33" s="3">
        <f>+IF(($G$33+B32+B31)&gt;B25,B25-B31-B32,IF($G$33&gt;B25-B24-B23,B25-B24-B23,$G$33))</f>
        <v>30</v>
      </c>
      <c r="C33" s="3"/>
      <c r="D33" s="3">
        <f>+IF(D31+L33&gt;D25,D25-D31,L33)</f>
        <v>30</v>
      </c>
      <c r="G33" s="40">
        <f>$B$13*0.1</f>
        <v>30</v>
      </c>
      <c r="H33" s="41" t="s">
        <v>31</v>
      </c>
      <c r="I33" s="42"/>
      <c r="J33" s="42"/>
      <c r="K33" s="43"/>
      <c r="L33" s="40">
        <f>IF(B12&gt;D23,B13*0.1,IF(B12+B13-D23&lt;0,0,+(B12+B13-D23)*0.1))</f>
        <v>30</v>
      </c>
      <c r="M33" s="41" t="s">
        <v>32</v>
      </c>
      <c r="N33" s="42"/>
      <c r="O33" s="42"/>
      <c r="P33" s="43"/>
    </row>
    <row r="34" spans="1:16" x14ac:dyDescent="0.25">
      <c r="A34" t="s">
        <v>19</v>
      </c>
      <c r="B34" s="20" t="s">
        <v>18</v>
      </c>
      <c r="C34" s="21"/>
      <c r="D34" s="15">
        <f>-D27</f>
        <v>-2000</v>
      </c>
      <c r="M34" s="23"/>
    </row>
    <row r="35" spans="1:16" x14ac:dyDescent="0.25">
      <c r="A35" s="12" t="s">
        <v>68</v>
      </c>
      <c r="B35" s="13">
        <f>SUM(B30:B34)</f>
        <v>6737.04</v>
      </c>
      <c r="C35" s="13"/>
      <c r="D35" s="13">
        <f>SUM(D30:D34)</f>
        <v>5865.28</v>
      </c>
      <c r="G35" s="3">
        <f>+MIN(B35:D35)</f>
        <v>5865.28</v>
      </c>
      <c r="H35" t="s">
        <v>21</v>
      </c>
    </row>
    <row r="36" spans="1:16" x14ac:dyDescent="0.25">
      <c r="L36" s="3"/>
    </row>
    <row r="37" spans="1:16" x14ac:dyDescent="0.25">
      <c r="A37" s="50" t="s">
        <v>72</v>
      </c>
      <c r="B37" s="50"/>
      <c r="C37" s="50"/>
      <c r="D37" s="50"/>
      <c r="E37" s="50"/>
      <c r="F37" s="50"/>
      <c r="L37" s="3"/>
    </row>
    <row r="38" spans="1:16" x14ac:dyDescent="0.25">
      <c r="A38" s="47"/>
      <c r="B38" s="47"/>
      <c r="C38" s="47"/>
      <c r="D38" s="47"/>
      <c r="E38" s="47"/>
      <c r="F38" s="47"/>
    </row>
    <row r="49" spans="1:1" x14ac:dyDescent="0.25">
      <c r="A49" s="44"/>
    </row>
    <row r="50" spans="1:1" x14ac:dyDescent="0.25">
      <c r="A50" s="44"/>
    </row>
  </sheetData>
  <mergeCells count="6">
    <mergeCell ref="A38:F38"/>
    <mergeCell ref="A6:F6"/>
    <mergeCell ref="A7:F7"/>
    <mergeCell ref="D12:F12"/>
    <mergeCell ref="D13:F13"/>
    <mergeCell ref="A37:F37"/>
  </mergeCells>
  <printOptions horizontalCentered="1"/>
  <pageMargins left="0.2" right="0.2" top="0.5" bottom="0.5" header="0.3" footer="0.3"/>
  <pageSetup scale="9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Lists!$A:$A</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42"/>
  <sheetViews>
    <sheetView workbookViewId="0">
      <selection activeCell="I5" sqref="I5"/>
    </sheetView>
  </sheetViews>
  <sheetFormatPr defaultColWidth="8.85546875" defaultRowHeight="15" x14ac:dyDescent="0.25"/>
  <cols>
    <col min="1" max="1" width="43.42578125" customWidth="1"/>
    <col min="2" max="2" width="15.28515625" customWidth="1"/>
    <col min="3" max="3" width="1.7109375" customWidth="1"/>
    <col min="4" max="4" width="11.85546875" hidden="1" customWidth="1"/>
    <col min="5" max="5" width="1.7109375" hidden="1" customWidth="1"/>
    <col min="6" max="6" width="13.5703125" customWidth="1"/>
    <col min="7" max="7" width="1.7109375" customWidth="1"/>
    <col min="8" max="8" width="11.85546875" hidden="1" customWidth="1"/>
    <col min="9" max="9" width="1.7109375" hidden="1" customWidth="1"/>
    <col min="10" max="10" width="12.140625" customWidth="1"/>
    <col min="11" max="11" width="1.7109375" hidden="1" customWidth="1"/>
    <col min="12" max="12" width="8.85546875" hidden="1" customWidth="1"/>
    <col min="13" max="14" width="8.85546875" customWidth="1"/>
  </cols>
  <sheetData>
    <row r="1" spans="1:22" ht="19.5" x14ac:dyDescent="0.25">
      <c r="A1" s="27" t="s">
        <v>0</v>
      </c>
      <c r="B1" s="28"/>
      <c r="F1" s="28"/>
    </row>
    <row r="2" spans="1:22" ht="18" x14ac:dyDescent="0.25">
      <c r="A2" s="29" t="s">
        <v>54</v>
      </c>
      <c r="B2" s="28"/>
      <c r="F2" s="28"/>
    </row>
    <row r="3" spans="1:22" ht="15.75" x14ac:dyDescent="0.25">
      <c r="A3" s="30" t="s">
        <v>2</v>
      </c>
      <c r="B3" s="28"/>
      <c r="F3" s="28"/>
    </row>
    <row r="4" spans="1:22" x14ac:dyDescent="0.25">
      <c r="A4" s="12" t="s">
        <v>48</v>
      </c>
      <c r="B4" s="28"/>
      <c r="F4" s="28"/>
    </row>
    <row r="5" spans="1:22" ht="15.75" thickBot="1" x14ac:dyDescent="0.3">
      <c r="A5" s="31" t="s">
        <v>70</v>
      </c>
      <c r="B5" s="32"/>
      <c r="C5" s="32"/>
      <c r="D5" s="32"/>
      <c r="E5" s="32"/>
      <c r="F5" s="32"/>
      <c r="G5" s="32"/>
      <c r="H5" s="32"/>
      <c r="I5" s="32"/>
      <c r="J5" s="32"/>
      <c r="K5" s="32"/>
      <c r="L5" s="32"/>
    </row>
    <row r="7" spans="1:22" x14ac:dyDescent="0.25">
      <c r="A7" s="33" t="s">
        <v>63</v>
      </c>
    </row>
    <row r="8" spans="1:22" ht="27.6" customHeight="1" x14ac:dyDescent="0.25">
      <c r="A8" s="58" t="s">
        <v>65</v>
      </c>
      <c r="B8" s="58"/>
      <c r="C8" s="58"/>
      <c r="D8" s="58"/>
      <c r="E8" s="58"/>
      <c r="F8" s="58"/>
      <c r="G8" s="58"/>
      <c r="H8" s="58"/>
      <c r="I8" s="58"/>
      <c r="J8" s="58"/>
      <c r="K8" s="58"/>
      <c r="L8" s="58"/>
    </row>
    <row r="9" spans="1:22" x14ac:dyDescent="0.25">
      <c r="A9" s="33"/>
    </row>
    <row r="10" spans="1:22" x14ac:dyDescent="0.25">
      <c r="B10" s="57" t="s">
        <v>39</v>
      </c>
      <c r="C10" s="57"/>
      <c r="D10" s="57"/>
      <c r="F10" s="57" t="s">
        <v>55</v>
      </c>
      <c r="G10" s="57"/>
      <c r="H10" s="57"/>
      <c r="J10" s="57" t="s">
        <v>56</v>
      </c>
      <c r="K10" s="57"/>
      <c r="L10" s="57"/>
    </row>
    <row r="11" spans="1:22" x14ac:dyDescent="0.25">
      <c r="A11" s="12" t="s">
        <v>49</v>
      </c>
      <c r="B11" s="1" t="s">
        <v>6</v>
      </c>
      <c r="C11" s="6"/>
      <c r="D11" s="1" t="s">
        <v>7</v>
      </c>
      <c r="E11" s="6"/>
      <c r="F11" s="1" t="s">
        <v>6</v>
      </c>
      <c r="G11" s="6"/>
      <c r="H11" s="1" t="s">
        <v>7</v>
      </c>
      <c r="J11" s="1" t="s">
        <v>6</v>
      </c>
      <c r="K11" s="6"/>
      <c r="L11" s="1" t="s">
        <v>7</v>
      </c>
      <c r="O11" s="58"/>
      <c r="P11" s="58"/>
      <c r="Q11" s="58"/>
      <c r="R11" s="58"/>
      <c r="S11" s="58"/>
      <c r="T11" s="58"/>
      <c r="U11" s="58"/>
      <c r="V11" s="58"/>
    </row>
    <row r="12" spans="1:22" x14ac:dyDescent="0.25">
      <c r="A12" t="s">
        <v>12</v>
      </c>
      <c r="B12" s="3">
        <v>1500</v>
      </c>
      <c r="C12" s="3"/>
      <c r="D12" s="3">
        <v>3000</v>
      </c>
      <c r="E12" s="3"/>
      <c r="F12" s="3">
        <v>250</v>
      </c>
      <c r="G12" s="3"/>
      <c r="H12" s="3">
        <v>500</v>
      </c>
      <c r="J12" s="3">
        <v>350</v>
      </c>
      <c r="K12" s="3"/>
      <c r="L12" s="3">
        <v>700</v>
      </c>
    </row>
    <row r="13" spans="1:22" x14ac:dyDescent="0.25">
      <c r="A13" t="s">
        <v>61</v>
      </c>
      <c r="B13" s="15">
        <v>1000</v>
      </c>
      <c r="C13" s="3"/>
      <c r="D13" s="15">
        <v>2000</v>
      </c>
      <c r="E13" s="3"/>
      <c r="F13" s="15">
        <v>0</v>
      </c>
      <c r="G13" s="3"/>
      <c r="H13" s="15">
        <v>0</v>
      </c>
      <c r="J13" s="15">
        <v>0</v>
      </c>
      <c r="K13" s="3"/>
      <c r="L13" s="15">
        <v>0</v>
      </c>
    </row>
    <row r="14" spans="1:22" x14ac:dyDescent="0.25">
      <c r="A14" s="12" t="s">
        <v>46</v>
      </c>
      <c r="B14" s="13">
        <f>+B12-B13</f>
        <v>500</v>
      </c>
      <c r="C14" s="13"/>
      <c r="D14" s="13">
        <f>+D12-D13</f>
        <v>1000</v>
      </c>
      <c r="E14" s="13"/>
      <c r="F14" s="13">
        <f>+F12-F13</f>
        <v>250</v>
      </c>
      <c r="G14" s="13"/>
      <c r="H14" s="13">
        <f>+H12-H13</f>
        <v>500</v>
      </c>
      <c r="I14" s="12"/>
      <c r="J14" s="13">
        <f>+J12-J13</f>
        <v>350</v>
      </c>
      <c r="K14" s="13"/>
      <c r="L14" s="13">
        <f>+L12-L13</f>
        <v>700</v>
      </c>
    </row>
    <row r="16" spans="1:22" ht="31.9" customHeight="1" x14ac:dyDescent="0.25">
      <c r="A16" t="s">
        <v>62</v>
      </c>
      <c r="B16" s="59" t="s">
        <v>47</v>
      </c>
      <c r="C16" s="59"/>
      <c r="D16" s="59"/>
      <c r="F16" s="3">
        <v>125</v>
      </c>
      <c r="G16" s="3"/>
      <c r="H16" s="3">
        <v>250</v>
      </c>
      <c r="J16" s="3">
        <v>230</v>
      </c>
      <c r="K16" s="3"/>
      <c r="L16" s="3">
        <v>460</v>
      </c>
    </row>
    <row r="18" spans="1:23" x14ac:dyDescent="0.25">
      <c r="A18" s="12" t="s">
        <v>50</v>
      </c>
      <c r="B18" s="13">
        <f>+B14</f>
        <v>500</v>
      </c>
      <c r="C18" s="12"/>
      <c r="D18" s="13">
        <f>+D14</f>
        <v>1000</v>
      </c>
      <c r="E18" s="12"/>
      <c r="F18" s="13">
        <f>+F16+F14</f>
        <v>375</v>
      </c>
      <c r="G18" s="12"/>
      <c r="H18" s="13">
        <f>+H16+H14</f>
        <v>750</v>
      </c>
      <c r="J18" s="13">
        <f>+J16+J14</f>
        <v>580</v>
      </c>
      <c r="K18" s="12"/>
      <c r="L18" s="13">
        <f>+L16+L14</f>
        <v>1160</v>
      </c>
    </row>
    <row r="20" spans="1:23" x14ac:dyDescent="0.25">
      <c r="A20" t="s">
        <v>51</v>
      </c>
      <c r="B20" s="3">
        <f>+'Emp Cont Table - AAUP'!I10*24</f>
        <v>775.19999999999993</v>
      </c>
      <c r="C20" s="3"/>
      <c r="D20" s="3">
        <f>+'Emp Cont Table - AAUP'!$J$10*24</f>
        <v>2055.84</v>
      </c>
      <c r="E20" s="3"/>
      <c r="F20" s="3" t="e">
        <f>+'Emp Cont Table - AAUP'!#REF!*24</f>
        <v>#REF!</v>
      </c>
      <c r="G20" s="3"/>
      <c r="H20" s="3" t="e">
        <f>+'Emp Cont Table - AAUP'!#REF!*24</f>
        <v>#REF!</v>
      </c>
      <c r="J20" s="3" t="e">
        <f>+'Emp Cont Table - AAUP'!#REF!*24</f>
        <v>#REF!</v>
      </c>
      <c r="K20" s="3"/>
      <c r="L20" s="3" t="e">
        <f>+'Emp Cont Table - AAUP'!#REF!*24</f>
        <v>#REF!</v>
      </c>
    </row>
    <row r="22" spans="1:23" s="12" customFormat="1" ht="15.75" thickBot="1" x14ac:dyDescent="0.3">
      <c r="A22" s="12" t="s">
        <v>52</v>
      </c>
      <c r="B22" s="34">
        <f>+B18+B20</f>
        <v>1275.1999999999998</v>
      </c>
      <c r="D22" s="34">
        <f>+D18+D20</f>
        <v>3055.84</v>
      </c>
      <c r="F22" s="34" t="e">
        <f>+F18+F20</f>
        <v>#REF!</v>
      </c>
      <c r="H22" s="34" t="e">
        <f>+H18+H20</f>
        <v>#REF!</v>
      </c>
      <c r="J22" s="34" t="e">
        <f>+J18+J20</f>
        <v>#REF!</v>
      </c>
      <c r="L22" s="34" t="e">
        <f>+L18+L20</f>
        <v>#REF!</v>
      </c>
    </row>
    <row r="23" spans="1:23" ht="15.75" thickTop="1" x14ac:dyDescent="0.25"/>
    <row r="26" spans="1:23" x14ac:dyDescent="0.25">
      <c r="A26" s="33" t="s">
        <v>67</v>
      </c>
    </row>
    <row r="27" spans="1:23" ht="27.6" customHeight="1" x14ac:dyDescent="0.25">
      <c r="A27" s="58" t="s">
        <v>66</v>
      </c>
      <c r="B27" s="58"/>
      <c r="C27" s="58"/>
      <c r="D27" s="58"/>
      <c r="E27" s="58"/>
      <c r="F27" s="58"/>
      <c r="G27" s="58"/>
      <c r="H27" s="58"/>
      <c r="I27" s="58"/>
      <c r="J27" s="58"/>
      <c r="K27" s="58"/>
      <c r="L27" s="58"/>
    </row>
    <row r="28" spans="1:23" x14ac:dyDescent="0.25">
      <c r="A28" s="33"/>
    </row>
    <row r="29" spans="1:23" x14ac:dyDescent="0.25">
      <c r="B29" s="57" t="s">
        <v>39</v>
      </c>
      <c r="C29" s="57"/>
      <c r="D29" s="57"/>
      <c r="F29" s="57" t="s">
        <v>55</v>
      </c>
      <c r="G29" s="57"/>
      <c r="H29" s="57"/>
      <c r="J29" s="57" t="s">
        <v>56</v>
      </c>
      <c r="K29" s="57"/>
      <c r="L29" s="57"/>
    </row>
    <row r="30" spans="1:23" x14ac:dyDescent="0.25">
      <c r="A30" s="12" t="s">
        <v>49</v>
      </c>
      <c r="B30" s="1" t="s">
        <v>7</v>
      </c>
      <c r="C30" s="6"/>
      <c r="D30" s="1" t="s">
        <v>7</v>
      </c>
      <c r="E30" s="6"/>
      <c r="F30" s="1" t="s">
        <v>7</v>
      </c>
      <c r="G30" s="6"/>
      <c r="H30" s="1" t="s">
        <v>7</v>
      </c>
      <c r="J30" s="1" t="s">
        <v>7</v>
      </c>
      <c r="K30" s="6"/>
      <c r="L30" s="1" t="s">
        <v>7</v>
      </c>
    </row>
    <row r="31" spans="1:23" x14ac:dyDescent="0.25">
      <c r="A31" t="s">
        <v>12</v>
      </c>
      <c r="B31" s="3">
        <v>3000</v>
      </c>
      <c r="C31" s="3"/>
      <c r="D31" s="3">
        <v>3000</v>
      </c>
      <c r="E31" s="3"/>
      <c r="F31" s="3">
        <v>500</v>
      </c>
      <c r="G31" s="3"/>
      <c r="H31" s="3">
        <v>500</v>
      </c>
      <c r="J31" s="3">
        <v>700</v>
      </c>
      <c r="K31" s="3"/>
      <c r="L31" s="3">
        <v>700</v>
      </c>
    </row>
    <row r="32" spans="1:23" x14ac:dyDescent="0.25">
      <c r="A32" t="s">
        <v>61</v>
      </c>
      <c r="B32" s="15">
        <v>2000</v>
      </c>
      <c r="C32" s="3"/>
      <c r="D32" s="15">
        <v>2000</v>
      </c>
      <c r="E32" s="3"/>
      <c r="F32" s="15">
        <v>0</v>
      </c>
      <c r="G32" s="3"/>
      <c r="H32" s="15">
        <v>0</v>
      </c>
      <c r="J32" s="15">
        <v>0</v>
      </c>
      <c r="K32" s="3"/>
      <c r="L32" s="15">
        <v>0</v>
      </c>
      <c r="P32" s="58"/>
      <c r="Q32" s="58"/>
      <c r="R32" s="58"/>
      <c r="S32" s="58"/>
      <c r="T32" s="58"/>
      <c r="U32" s="58"/>
      <c r="V32" s="58"/>
      <c r="W32" s="58"/>
    </row>
    <row r="33" spans="1:12" x14ac:dyDescent="0.25">
      <c r="A33" s="12" t="s">
        <v>46</v>
      </c>
      <c r="B33" s="13">
        <f>+B31-B32</f>
        <v>1000</v>
      </c>
      <c r="C33" s="13"/>
      <c r="D33" s="13">
        <f>+D31-D32</f>
        <v>1000</v>
      </c>
      <c r="E33" s="13"/>
      <c r="F33" s="13">
        <f>+F31-F32</f>
        <v>500</v>
      </c>
      <c r="G33" s="13"/>
      <c r="H33" s="13">
        <f>+H31-H32</f>
        <v>500</v>
      </c>
      <c r="I33" s="12"/>
      <c r="J33" s="13">
        <f>+J31-J32</f>
        <v>700</v>
      </c>
      <c r="K33" s="13"/>
      <c r="L33" s="13">
        <f>+L31-L32</f>
        <v>700</v>
      </c>
    </row>
    <row r="35" spans="1:12" ht="27" customHeight="1" x14ac:dyDescent="0.25">
      <c r="A35" t="s">
        <v>62</v>
      </c>
      <c r="B35" s="59" t="s">
        <v>47</v>
      </c>
      <c r="C35" s="59"/>
      <c r="D35" s="59"/>
      <c r="F35" s="3">
        <v>250</v>
      </c>
      <c r="G35" s="3"/>
      <c r="H35" s="3">
        <v>250</v>
      </c>
      <c r="J35" s="3">
        <v>460</v>
      </c>
      <c r="K35" s="3"/>
      <c r="L35" s="3">
        <v>460</v>
      </c>
    </row>
    <row r="37" spans="1:12" x14ac:dyDescent="0.25">
      <c r="A37" s="12" t="s">
        <v>50</v>
      </c>
      <c r="B37" s="13">
        <f>+B33</f>
        <v>1000</v>
      </c>
      <c r="C37" s="12"/>
      <c r="D37" s="13">
        <f>+D33</f>
        <v>1000</v>
      </c>
      <c r="E37" s="12"/>
      <c r="F37" s="13">
        <f>+F35+F33</f>
        <v>750</v>
      </c>
      <c r="G37" s="12"/>
      <c r="H37" s="13">
        <f>+H35+H33</f>
        <v>750</v>
      </c>
      <c r="J37" s="13">
        <f>+J35+J33</f>
        <v>1160</v>
      </c>
      <c r="K37" s="12"/>
      <c r="L37" s="13">
        <f>+L35+L33</f>
        <v>1160</v>
      </c>
    </row>
    <row r="39" spans="1:12" x14ac:dyDescent="0.25">
      <c r="A39" t="s">
        <v>51</v>
      </c>
      <c r="B39" s="3">
        <f>+'Emp Cont Table - AAUP'!$J$10*24</f>
        <v>2055.84</v>
      </c>
      <c r="C39" s="3"/>
      <c r="D39" s="3">
        <f>+'Emp Cont Table - AAUP'!J29*24</f>
        <v>0</v>
      </c>
      <c r="E39" s="3"/>
      <c r="F39" s="3" t="e">
        <f>+'Emp Cont Table - AAUP'!#REF!*24</f>
        <v>#REF!</v>
      </c>
      <c r="G39" s="3"/>
      <c r="H39" s="3" t="e">
        <f>+'Emp Cont Table - AAUP'!#REF!*24</f>
        <v>#REF!</v>
      </c>
      <c r="J39" s="3" t="e">
        <f>+'Emp Cont Table - AAUP'!#REF!*24</f>
        <v>#REF!</v>
      </c>
      <c r="K39" s="3"/>
      <c r="L39" s="3" t="e">
        <f>+'Emp Cont Table - AAUP'!#REF!*24</f>
        <v>#REF!</v>
      </c>
    </row>
    <row r="41" spans="1:12" s="12" customFormat="1" ht="15.75" thickBot="1" x14ac:dyDescent="0.3">
      <c r="A41" s="12" t="s">
        <v>52</v>
      </c>
      <c r="B41" s="34">
        <f>+B37+B39</f>
        <v>3055.84</v>
      </c>
      <c r="D41" s="34">
        <f>+D37+D39</f>
        <v>1000</v>
      </c>
      <c r="F41" s="34" t="e">
        <f>+F37+F39</f>
        <v>#REF!</v>
      </c>
      <c r="H41" s="34" t="e">
        <f>+H37+H39</f>
        <v>#REF!</v>
      </c>
      <c r="J41" s="34" t="e">
        <f>+J37+J39</f>
        <v>#REF!</v>
      </c>
      <c r="L41" s="34" t="e">
        <f>+L37+L39</f>
        <v>#REF!</v>
      </c>
    </row>
    <row r="42" spans="1:12" ht="15.75" thickTop="1" x14ac:dyDescent="0.25"/>
  </sheetData>
  <mergeCells count="12">
    <mergeCell ref="O11:V11"/>
    <mergeCell ref="P32:W32"/>
    <mergeCell ref="B10:D10"/>
    <mergeCell ref="F10:H10"/>
    <mergeCell ref="B16:D16"/>
    <mergeCell ref="J10:L10"/>
    <mergeCell ref="B35:D35"/>
    <mergeCell ref="A8:L8"/>
    <mergeCell ref="A27:L27"/>
    <mergeCell ref="B29:D29"/>
    <mergeCell ref="F29:H29"/>
    <mergeCell ref="J29:L29"/>
  </mergeCells>
  <printOptions horizontalCentered="1"/>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1"/>
  <sheetViews>
    <sheetView workbookViewId="0">
      <selection activeCell="A17" sqref="A17"/>
    </sheetView>
  </sheetViews>
  <sheetFormatPr defaultColWidth="8.85546875" defaultRowHeight="15" x14ac:dyDescent="0.25"/>
  <cols>
    <col min="1" max="1" width="46.140625" customWidth="1"/>
    <col min="2" max="2" width="11.85546875" customWidth="1"/>
    <col min="3" max="3" width="1.7109375" customWidth="1"/>
    <col min="4" max="4" width="11.85546875" customWidth="1"/>
    <col min="5" max="5" width="1.7109375" customWidth="1"/>
    <col min="6" max="6" width="11.85546875" customWidth="1"/>
    <col min="7" max="7" width="1.7109375" customWidth="1"/>
    <col min="8" max="8" width="15.7109375" customWidth="1"/>
    <col min="9" max="18" width="8.85546875" hidden="1" customWidth="1"/>
    <col min="19" max="19" width="8.85546875" customWidth="1"/>
  </cols>
  <sheetData>
    <row r="1" spans="1:10" ht="19.5" x14ac:dyDescent="0.25">
      <c r="A1" s="27" t="s">
        <v>0</v>
      </c>
      <c r="B1" s="28"/>
    </row>
    <row r="2" spans="1:10" ht="18" x14ac:dyDescent="0.25">
      <c r="A2" s="29" t="s">
        <v>1</v>
      </c>
      <c r="B2" s="28"/>
    </row>
    <row r="3" spans="1:10" ht="15.75" x14ac:dyDescent="0.25">
      <c r="A3" s="30" t="s">
        <v>82</v>
      </c>
      <c r="B3" s="28"/>
    </row>
    <row r="4" spans="1:10" ht="15.75" thickBot="1" x14ac:dyDescent="0.3">
      <c r="A4" s="31" t="s">
        <v>74</v>
      </c>
      <c r="B4" s="32"/>
      <c r="C4" s="32"/>
      <c r="D4" s="32"/>
      <c r="E4" s="32"/>
      <c r="F4" s="32"/>
      <c r="G4" s="32"/>
      <c r="H4" s="32"/>
    </row>
    <row r="6" spans="1:10" ht="32.65" customHeight="1" x14ac:dyDescent="0.25">
      <c r="A6" s="47" t="s">
        <v>28</v>
      </c>
      <c r="B6" s="47"/>
      <c r="C6" s="47"/>
      <c r="D6" s="47"/>
      <c r="E6" s="47"/>
      <c r="F6" s="47"/>
      <c r="G6" s="47"/>
      <c r="H6" s="47"/>
    </row>
    <row r="7" spans="1:10" ht="43.9" customHeight="1" x14ac:dyDescent="0.25">
      <c r="A7" s="52" t="s">
        <v>75</v>
      </c>
      <c r="B7" s="47"/>
      <c r="C7" s="47"/>
      <c r="D7" s="47"/>
      <c r="E7" s="47"/>
      <c r="F7" s="47"/>
      <c r="G7" s="47"/>
      <c r="H7" s="47"/>
    </row>
    <row r="8" spans="1:10" ht="8.65" customHeight="1" x14ac:dyDescent="0.25">
      <c r="A8" s="35"/>
      <c r="B8" s="35"/>
      <c r="C8" s="35"/>
      <c r="D8" s="35"/>
      <c r="E8" s="35"/>
      <c r="F8" s="35"/>
      <c r="G8" s="35"/>
      <c r="H8" s="35"/>
    </row>
    <row r="9" spans="1:10" x14ac:dyDescent="0.25">
      <c r="A9" s="12" t="s">
        <v>25</v>
      </c>
    </row>
    <row r="10" spans="1:10" x14ac:dyDescent="0.25">
      <c r="A10" t="s">
        <v>8</v>
      </c>
      <c r="B10" s="16" t="s">
        <v>7</v>
      </c>
    </row>
    <row r="11" spans="1:10" x14ac:dyDescent="0.25">
      <c r="A11" t="s">
        <v>3</v>
      </c>
      <c r="B11" s="17">
        <v>50000</v>
      </c>
      <c r="I11">
        <f>IF('Model - AAUP'!B11&gt;'Emp Cont Table - AAUP'!A17,12, IF('Model - AAUP'!B11&gt;'Emp Cont Table - AAUP'!A16,11,IF('Model - AAUP'!B11&gt;'Emp Cont Table - AAUP'!A15,10,IF('Model - AAUP'!B11&gt;'Emp Cont Table - AAUP'!A14,9,IF('Model - AAUP'!B11&gt;'Emp Cont Table - AAUP'!A13,8,IF('Model - AAUP'!B11&gt;'Emp Cont Table - AAUP'!A12,7,IF('Model - AAUP'!B11&gt;'Emp Cont Table - AAUP'!A11,6,IF('Model - AAUP'!B11&gt;'Emp Cont Table - AAUP'!A10,5,IF('Model - AAUP'!B11&gt;'Emp Cont Table - AAUP'!A9,4,IF('Model - AAUP'!B11&gt;'Emp Cont Table - AAUP'!A8,3,IF('Model - AAUP'!B11&gt;'Emp Cont Table - AAUP'!A7,2,IF('Model - AAUP'!B11&gt;'Emp Cont Table - AAUP'!A6,1))))))))))))</f>
        <v>6</v>
      </c>
      <c r="J11" t="s">
        <v>15</v>
      </c>
    </row>
    <row r="12" spans="1:10" ht="60.6" customHeight="1" x14ac:dyDescent="0.25">
      <c r="A12" s="36" t="s">
        <v>83</v>
      </c>
      <c r="B12" s="18">
        <v>10000</v>
      </c>
      <c r="C12" s="37"/>
      <c r="D12" s="51" t="s">
        <v>76</v>
      </c>
      <c r="E12" s="51"/>
      <c r="F12" s="51"/>
      <c r="G12" s="51"/>
      <c r="H12" s="51"/>
    </row>
    <row r="13" spans="1:10" ht="42.6" customHeight="1" x14ac:dyDescent="0.25">
      <c r="A13" s="38" t="s">
        <v>81</v>
      </c>
      <c r="B13" s="19">
        <v>300</v>
      </c>
      <c r="C13" s="39"/>
      <c r="D13" s="53" t="s">
        <v>57</v>
      </c>
      <c r="E13" s="53"/>
      <c r="F13" s="53"/>
      <c r="G13" s="53"/>
      <c r="H13" s="53"/>
    </row>
    <row r="14" spans="1:10" x14ac:dyDescent="0.25">
      <c r="B14" s="3"/>
    </row>
    <row r="15" spans="1:10" ht="31.5" x14ac:dyDescent="0.35">
      <c r="A15" s="8" t="s">
        <v>26</v>
      </c>
      <c r="B15" s="46" t="str">
        <f>IF(B35=$I$35,"P","")</f>
        <v/>
      </c>
      <c r="C15" s="24"/>
      <c r="D15" s="46" t="str">
        <f>IF(D35=$I$35,"P","")</f>
        <v>P</v>
      </c>
      <c r="E15" s="9"/>
    </row>
    <row r="17" spans="1:10" ht="45" x14ac:dyDescent="0.25">
      <c r="A17" s="10" t="s">
        <v>22</v>
      </c>
      <c r="B17" s="45" t="s">
        <v>35</v>
      </c>
      <c r="C17" s="25"/>
      <c r="D17" s="45" t="s">
        <v>17</v>
      </c>
      <c r="E17" s="6"/>
    </row>
    <row r="18" spans="1:10" x14ac:dyDescent="0.25">
      <c r="A18" t="s">
        <v>4</v>
      </c>
      <c r="B18" s="3">
        <f>IF($B$10="single",+VLOOKUP($I$11,'Emp Cont Table - AAUP'!$D:$J,3,FALSE),+VLOOKUP($I$11,'Emp Cont Table - AAUP'!$D:$J,4,FALSE))</f>
        <v>195.71</v>
      </c>
      <c r="C18" s="3"/>
      <c r="D18" s="3">
        <f>IF($B$10="single",+VLOOKUP($I$11,'Emp Cont Table - AAUP'!$D:$J,6,FALSE),+VLOOKUP($I$11,'Emp Cont Table - AAUP'!$D:$J,7,FALSE))</f>
        <v>101.47</v>
      </c>
      <c r="E18" s="3"/>
    </row>
    <row r="19" spans="1:10" x14ac:dyDescent="0.25">
      <c r="A19" t="s">
        <v>5</v>
      </c>
      <c r="B19" s="11">
        <v>24</v>
      </c>
      <c r="D19" s="11">
        <v>24</v>
      </c>
    </row>
    <row r="20" spans="1:10" x14ac:dyDescent="0.25">
      <c r="A20" s="12" t="s">
        <v>24</v>
      </c>
      <c r="B20" s="13">
        <f>+B18*B19</f>
        <v>4697.04</v>
      </c>
      <c r="C20" s="13"/>
      <c r="D20" s="13">
        <f>+D18*D19</f>
        <v>2435.2799999999997</v>
      </c>
      <c r="E20" s="13"/>
    </row>
    <row r="22" spans="1:10" x14ac:dyDescent="0.25">
      <c r="A22" s="12" t="s">
        <v>23</v>
      </c>
    </row>
    <row r="23" spans="1:10" x14ac:dyDescent="0.25">
      <c r="A23" t="s">
        <v>12</v>
      </c>
      <c r="B23" s="3">
        <f>IF(B10="single",'Plan Info'!H5,'Plan Info'!I5)</f>
        <v>600</v>
      </c>
      <c r="C23" s="3"/>
      <c r="D23" s="3">
        <f>+IF($B$10="single",'Plan Info'!$E$5,'Plan Info'!$F$5)</f>
        <v>5400</v>
      </c>
      <c r="E23" s="3"/>
    </row>
    <row r="24" spans="1:10" x14ac:dyDescent="0.25">
      <c r="A24" t="s">
        <v>33</v>
      </c>
      <c r="B24" s="3">
        <f>IF(B10="single",'Plan Info'!H6,'Plan Info'!I6)</f>
        <v>2400</v>
      </c>
      <c r="C24" s="3"/>
      <c r="D24" s="3" t="s">
        <v>18</v>
      </c>
      <c r="E24" s="3"/>
      <c r="F24" s="3"/>
    </row>
    <row r="25" spans="1:10" hidden="1" x14ac:dyDescent="0.25">
      <c r="A25" t="s">
        <v>30</v>
      </c>
      <c r="B25" s="3">
        <f>IF($B$10="Single",'Plan Info'!$H$10,'Plan Info'!$I$10)</f>
        <v>14700</v>
      </c>
      <c r="C25" s="3"/>
      <c r="D25" s="3">
        <f>IF($B$10="Single",'Plan Info'!E10,'Plan Info'!F10)</f>
        <v>13300</v>
      </c>
      <c r="E25" s="3"/>
      <c r="F25" s="3"/>
    </row>
    <row r="26" spans="1:10" x14ac:dyDescent="0.25">
      <c r="A26" t="s">
        <v>13</v>
      </c>
      <c r="B26" s="14">
        <f>IF(B10="single",'Plan Info'!H8,'Plan Info'!I8)</f>
        <v>0.15</v>
      </c>
      <c r="C26" s="14"/>
      <c r="D26" s="14" t="s">
        <v>18</v>
      </c>
      <c r="E26" s="14"/>
    </row>
    <row r="27" spans="1:10" x14ac:dyDescent="0.25">
      <c r="A27" t="s">
        <v>10</v>
      </c>
      <c r="B27" s="23" t="s">
        <v>18</v>
      </c>
      <c r="C27" s="23"/>
      <c r="D27" s="3">
        <f>IF(B10="Single",1100,2000)</f>
        <v>2000</v>
      </c>
    </row>
    <row r="29" spans="1:10" x14ac:dyDescent="0.25">
      <c r="A29" s="12" t="s">
        <v>11</v>
      </c>
    </row>
    <row r="30" spans="1:10" ht="14.65" customHeight="1" x14ac:dyDescent="0.25">
      <c r="A30" t="s">
        <v>22</v>
      </c>
      <c r="B30" s="3">
        <f>+B20</f>
        <v>4697.04</v>
      </c>
      <c r="C30" s="3"/>
      <c r="D30" s="3">
        <f>+D20</f>
        <v>2435.2799999999997</v>
      </c>
      <c r="E30" s="3"/>
    </row>
    <row r="31" spans="1:10" x14ac:dyDescent="0.25">
      <c r="A31" t="s">
        <v>12</v>
      </c>
      <c r="B31" s="3">
        <f>+IF($B$12&gt;B23,B23,$B$12)</f>
        <v>600</v>
      </c>
      <c r="C31" s="3"/>
      <c r="D31" s="3">
        <f>+IF(($B$12+$B$13)&gt;D23,D23,$B$12+$B$13)</f>
        <v>5400</v>
      </c>
      <c r="E31" s="3"/>
    </row>
    <row r="32" spans="1:10" x14ac:dyDescent="0.25">
      <c r="A32" t="s">
        <v>13</v>
      </c>
      <c r="B32" s="3">
        <f>+IF(($B$12-B23)*B26&gt;=B24,B24,IF($B$12&lt;B23,0,($B$12-B23)*B26))</f>
        <v>1410</v>
      </c>
      <c r="C32" s="3"/>
      <c r="D32" s="3" t="s">
        <v>18</v>
      </c>
      <c r="E32" s="3"/>
      <c r="J32" s="3"/>
    </row>
    <row r="33" spans="1:18" x14ac:dyDescent="0.25">
      <c r="A33" t="s">
        <v>34</v>
      </c>
      <c r="B33" s="3">
        <f>+IF(($I$33+B32+B31)&gt;B25,B25-B31-B32,IF($I$33&gt;B25-B24-B23,B25-B24-B23,$I$33))</f>
        <v>30</v>
      </c>
      <c r="C33" s="3"/>
      <c r="D33" s="3">
        <f>+IF(D31+$N$33&gt;D25,D25-D31,$N$33)</f>
        <v>30</v>
      </c>
      <c r="E33" s="3"/>
      <c r="I33" s="40">
        <f>$B$13*0.1</f>
        <v>30</v>
      </c>
      <c r="J33" s="41" t="s">
        <v>60</v>
      </c>
      <c r="K33" s="42"/>
      <c r="L33" s="42"/>
      <c r="M33" s="43"/>
      <c r="N33" s="40">
        <f>IF(B12&gt;D23,B13*0.1,IF(B12+B13-D23&lt;0,0,+(B12+B13-D23)*0.1))</f>
        <v>30</v>
      </c>
      <c r="O33" s="41" t="s">
        <v>32</v>
      </c>
      <c r="P33" s="42"/>
      <c r="Q33" s="42"/>
      <c r="R33" s="43"/>
    </row>
    <row r="34" spans="1:18" x14ac:dyDescent="0.25">
      <c r="A34" t="s">
        <v>19</v>
      </c>
      <c r="B34" s="20" t="s">
        <v>18</v>
      </c>
      <c r="C34" s="21"/>
      <c r="D34" s="15">
        <f>-D27</f>
        <v>-2000</v>
      </c>
      <c r="E34" s="3"/>
      <c r="O34" s="23"/>
    </row>
    <row r="35" spans="1:18" x14ac:dyDescent="0.25">
      <c r="A35" s="12" t="s">
        <v>68</v>
      </c>
      <c r="B35" s="13">
        <f>SUM(B30:B34)</f>
        <v>6737.04</v>
      </c>
      <c r="C35" s="13"/>
      <c r="D35" s="13">
        <f>SUM(D30:D34)</f>
        <v>5865.28</v>
      </c>
      <c r="E35" s="13"/>
      <c r="I35" s="3">
        <f>+MIN(B35:D35)</f>
        <v>5865.28</v>
      </c>
      <c r="J35" t="s">
        <v>21</v>
      </c>
    </row>
    <row r="36" spans="1:18" x14ac:dyDescent="0.25">
      <c r="N36" s="3"/>
    </row>
    <row r="37" spans="1:18" x14ac:dyDescent="0.25">
      <c r="A37" s="51" t="s">
        <v>72</v>
      </c>
      <c r="B37" s="51"/>
      <c r="C37" s="51"/>
      <c r="D37" s="51"/>
      <c r="E37" s="51"/>
      <c r="F37" s="51"/>
      <c r="G37" s="51"/>
      <c r="H37" s="51"/>
    </row>
    <row r="41" spans="1:18" hidden="1" x14ac:dyDescent="0.25">
      <c r="A41" t="str">
        <f ca="1">CELL("filename")</f>
        <v xml:space="preserve">S:\Director Benefits EOAA\Benefits\BENEFITS\Open Enrollment 2024\[2024 Healthcare Cost Modeler.xlsx]Model </v>
      </c>
    </row>
  </sheetData>
  <mergeCells count="5">
    <mergeCell ref="A37:H37"/>
    <mergeCell ref="A6:H6"/>
    <mergeCell ref="A7:H7"/>
    <mergeCell ref="D12:H12"/>
    <mergeCell ref="D13:H13"/>
  </mergeCells>
  <printOptions horizontalCentered="1"/>
  <pageMargins left="0.2" right="0.2" top="0.5" bottom="0.5" header="0.3" footer="0.3"/>
  <pageSetup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Lists!$A:$A</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tabSelected="1" workbookViewId="0">
      <selection activeCell="A2" sqref="A2"/>
    </sheetView>
  </sheetViews>
  <sheetFormatPr defaultRowHeight="15" x14ac:dyDescent="0.25"/>
  <cols>
    <col min="1" max="1" width="42.140625" bestFit="1" customWidth="1"/>
    <col min="2" max="3" width="13.140625" customWidth="1"/>
    <col min="4" max="4" width="1.7109375" customWidth="1"/>
    <col min="5" max="6" width="13.140625" customWidth="1"/>
    <col min="7" max="7" width="1.7109375" customWidth="1"/>
    <col min="8" max="9" width="13.140625" customWidth="1"/>
    <col min="10" max="10" width="1.7109375" customWidth="1"/>
  </cols>
  <sheetData>
    <row r="1" spans="1:10" x14ac:dyDescent="0.25">
      <c r="A1" s="7" t="s">
        <v>84</v>
      </c>
    </row>
    <row r="3" spans="1:10" x14ac:dyDescent="0.25">
      <c r="B3" s="54" t="s">
        <v>44</v>
      </c>
      <c r="C3" s="54"/>
      <c r="E3" s="54" t="s">
        <v>53</v>
      </c>
      <c r="F3" s="54"/>
      <c r="H3" s="54" t="s">
        <v>78</v>
      </c>
      <c r="I3" s="54"/>
    </row>
    <row r="4" spans="1:10" x14ac:dyDescent="0.25">
      <c r="B4" s="2" t="s">
        <v>6</v>
      </c>
      <c r="C4" s="2" t="s">
        <v>7</v>
      </c>
      <c r="D4" s="2"/>
      <c r="E4" s="2" t="s">
        <v>6</v>
      </c>
      <c r="F4" s="2" t="s">
        <v>7</v>
      </c>
      <c r="G4" s="2"/>
      <c r="H4" s="2" t="s">
        <v>6</v>
      </c>
      <c r="I4" s="2" t="s">
        <v>7</v>
      </c>
      <c r="J4" s="2"/>
    </row>
    <row r="5" spans="1:10" x14ac:dyDescent="0.25">
      <c r="A5" t="s">
        <v>12</v>
      </c>
      <c r="B5" s="3">
        <v>300</v>
      </c>
      <c r="C5" s="3">
        <v>600</v>
      </c>
      <c r="D5" s="3"/>
      <c r="E5" s="3">
        <v>3200</v>
      </c>
      <c r="F5" s="3">
        <v>5400</v>
      </c>
      <c r="G5" s="3"/>
      <c r="H5" s="3">
        <v>300</v>
      </c>
      <c r="I5" s="3">
        <v>600</v>
      </c>
      <c r="J5" s="3"/>
    </row>
    <row r="6" spans="1:10" x14ac:dyDescent="0.25">
      <c r="A6" t="s">
        <v>58</v>
      </c>
      <c r="B6" s="3">
        <v>1500</v>
      </c>
      <c r="C6" s="3">
        <v>3000</v>
      </c>
      <c r="D6" s="3"/>
      <c r="E6" s="3">
        <v>3200</v>
      </c>
      <c r="F6" s="3">
        <v>5400</v>
      </c>
      <c r="G6" s="3"/>
      <c r="H6" s="3">
        <v>1200</v>
      </c>
      <c r="I6" s="3">
        <v>2400</v>
      </c>
      <c r="J6" s="3"/>
    </row>
    <row r="7" spans="1:10" x14ac:dyDescent="0.25">
      <c r="A7" t="s">
        <v>59</v>
      </c>
      <c r="B7" s="3">
        <f>+B10-B5-B6</f>
        <v>5550</v>
      </c>
      <c r="C7" s="3">
        <f>+C10-C5-C6</f>
        <v>11100</v>
      </c>
      <c r="D7" s="3"/>
      <c r="E7" s="3">
        <f>+E10-E6</f>
        <v>3450</v>
      </c>
      <c r="F7" s="3">
        <f>+F10-F6</f>
        <v>7900</v>
      </c>
      <c r="G7" s="3"/>
      <c r="H7" s="3">
        <f>+H10-H5-H6</f>
        <v>5850</v>
      </c>
      <c r="I7" s="3">
        <f>+I10-I5-I6</f>
        <v>11700</v>
      </c>
      <c r="J7" s="3"/>
    </row>
    <row r="8" spans="1:10" x14ac:dyDescent="0.25">
      <c r="A8" t="s">
        <v>20</v>
      </c>
      <c r="B8" s="4">
        <v>0.15</v>
      </c>
      <c r="C8" s="4">
        <v>0.15</v>
      </c>
      <c r="E8" s="4">
        <v>0</v>
      </c>
      <c r="F8" s="4">
        <v>0</v>
      </c>
      <c r="H8" s="4">
        <v>0.15</v>
      </c>
      <c r="I8" s="4">
        <v>0.15</v>
      </c>
    </row>
    <row r="10" spans="1:10" x14ac:dyDescent="0.25">
      <c r="A10" t="s">
        <v>29</v>
      </c>
      <c r="B10" s="3">
        <v>7350</v>
      </c>
      <c r="C10" s="3">
        <v>14700</v>
      </c>
      <c r="E10" s="3">
        <v>6650</v>
      </c>
      <c r="F10" s="3">
        <v>13300</v>
      </c>
      <c r="H10" s="3">
        <v>7350</v>
      </c>
      <c r="I10" s="3">
        <v>14700</v>
      </c>
    </row>
    <row r="12" spans="1:10" x14ac:dyDescent="0.25">
      <c r="E12" s="3"/>
      <c r="F12" s="3"/>
    </row>
    <row r="13" spans="1:10" x14ac:dyDescent="0.25">
      <c r="B13" s="3"/>
      <c r="C13" s="3"/>
      <c r="H13" s="3"/>
      <c r="I13" s="3"/>
    </row>
  </sheetData>
  <mergeCells count="3">
    <mergeCell ref="B3:C3"/>
    <mergeCell ref="E3:F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workbookViewId="0">
      <selection activeCell="I6" sqref="I6:J17"/>
    </sheetView>
  </sheetViews>
  <sheetFormatPr defaultRowHeight="15" x14ac:dyDescent="0.25"/>
  <cols>
    <col min="1" max="1" width="19.7109375" bestFit="1" customWidth="1"/>
    <col min="2" max="2" width="13.28515625" bestFit="1" customWidth="1"/>
    <col min="3" max="3" width="1.7109375" customWidth="1"/>
    <col min="5" max="5" width="1.7109375" customWidth="1"/>
    <col min="6" max="7" width="14.7109375" customWidth="1"/>
    <col min="8" max="8" width="1.7109375" customWidth="1"/>
    <col min="9" max="10" width="14.7109375" customWidth="1"/>
    <col min="11" max="11" width="1.7109375" customWidth="1"/>
  </cols>
  <sheetData>
    <row r="1" spans="1:11" x14ac:dyDescent="0.25">
      <c r="A1" s="7" t="s">
        <v>80</v>
      </c>
    </row>
    <row r="3" spans="1:11" x14ac:dyDescent="0.25">
      <c r="F3" s="57" t="s">
        <v>9</v>
      </c>
      <c r="G3" s="57"/>
      <c r="I3" s="57" t="s">
        <v>9</v>
      </c>
      <c r="J3" s="57"/>
      <c r="K3" s="2"/>
    </row>
    <row r="4" spans="1:11" x14ac:dyDescent="0.25">
      <c r="F4" s="56" t="s">
        <v>44</v>
      </c>
      <c r="G4" s="56"/>
      <c r="I4" s="56" t="s">
        <v>53</v>
      </c>
      <c r="J4" s="56"/>
      <c r="K4" s="6"/>
    </row>
    <row r="5" spans="1:11" x14ac:dyDescent="0.25">
      <c r="A5" s="55" t="s">
        <v>14</v>
      </c>
      <c r="B5" s="55"/>
      <c r="D5" s="1" t="s">
        <v>16</v>
      </c>
      <c r="F5" s="1" t="s">
        <v>6</v>
      </c>
      <c r="G5" s="1" t="s">
        <v>7</v>
      </c>
      <c r="I5" s="1" t="s">
        <v>6</v>
      </c>
      <c r="J5" s="1" t="s">
        <v>7</v>
      </c>
      <c r="K5" s="2"/>
    </row>
    <row r="6" spans="1:11" x14ac:dyDescent="0.25">
      <c r="A6" s="5">
        <v>0</v>
      </c>
      <c r="B6" s="5">
        <v>24000</v>
      </c>
      <c r="D6">
        <v>1</v>
      </c>
      <c r="F6" s="26">
        <v>35.18</v>
      </c>
      <c r="G6" s="26">
        <v>93.32</v>
      </c>
      <c r="I6" s="26">
        <v>8.4600000000000009</v>
      </c>
      <c r="J6" s="26">
        <v>22.42</v>
      </c>
    </row>
    <row r="7" spans="1:11" x14ac:dyDescent="0.25">
      <c r="A7" s="5">
        <v>24000.01</v>
      </c>
      <c r="B7" s="5">
        <v>28500</v>
      </c>
      <c r="D7">
        <v>2</v>
      </c>
      <c r="F7" s="26">
        <v>42.9</v>
      </c>
      <c r="G7" s="26">
        <v>113.8</v>
      </c>
      <c r="I7" s="26">
        <v>14.42</v>
      </c>
      <c r="J7" s="26">
        <v>38.229999999999997</v>
      </c>
    </row>
    <row r="8" spans="1:11" x14ac:dyDescent="0.25">
      <c r="A8" s="5">
        <v>28500.01</v>
      </c>
      <c r="B8" s="5">
        <v>33000</v>
      </c>
      <c r="D8">
        <v>3</v>
      </c>
      <c r="F8" s="26">
        <v>50.62</v>
      </c>
      <c r="G8" s="26">
        <v>134.27000000000001</v>
      </c>
      <c r="I8" s="26">
        <v>20.38</v>
      </c>
      <c r="J8" s="26">
        <v>54.04</v>
      </c>
    </row>
    <row r="9" spans="1:11" x14ac:dyDescent="0.25">
      <c r="A9" s="5">
        <v>33000.01</v>
      </c>
      <c r="B9" s="5">
        <v>39000</v>
      </c>
      <c r="D9">
        <v>4</v>
      </c>
      <c r="F9" s="26">
        <v>58.35</v>
      </c>
      <c r="G9" s="26">
        <v>154.75</v>
      </c>
      <c r="I9" s="26">
        <v>26.34</v>
      </c>
      <c r="J9" s="26">
        <v>69.849999999999994</v>
      </c>
    </row>
    <row r="10" spans="1:11" x14ac:dyDescent="0.25">
      <c r="A10" s="5">
        <v>39000.01</v>
      </c>
      <c r="B10" s="5">
        <v>46000</v>
      </c>
      <c r="D10">
        <v>5</v>
      </c>
      <c r="F10" s="26">
        <v>66.069999999999993</v>
      </c>
      <c r="G10" s="26">
        <v>175.23</v>
      </c>
      <c r="I10" s="26">
        <v>32.299999999999997</v>
      </c>
      <c r="J10" s="26">
        <v>85.66</v>
      </c>
    </row>
    <row r="11" spans="1:11" x14ac:dyDescent="0.25">
      <c r="A11" s="5">
        <v>46000.01</v>
      </c>
      <c r="B11" s="5">
        <v>54000</v>
      </c>
      <c r="D11">
        <v>6</v>
      </c>
      <c r="F11" s="26">
        <v>73.790000000000006</v>
      </c>
      <c r="G11" s="26">
        <v>195.71</v>
      </c>
      <c r="I11" s="26">
        <v>38.270000000000003</v>
      </c>
      <c r="J11" s="26">
        <v>101.47</v>
      </c>
    </row>
    <row r="12" spans="1:11" x14ac:dyDescent="0.25">
      <c r="A12" s="5">
        <v>54000.01</v>
      </c>
      <c r="B12" s="5">
        <v>65500</v>
      </c>
      <c r="D12">
        <v>7</v>
      </c>
      <c r="F12" s="26">
        <v>81.510000000000005</v>
      </c>
      <c r="G12" s="26">
        <v>216.19</v>
      </c>
      <c r="I12" s="26">
        <v>44.23</v>
      </c>
      <c r="J12" s="26">
        <v>117.28</v>
      </c>
    </row>
    <row r="13" spans="1:11" x14ac:dyDescent="0.25">
      <c r="A13" s="5">
        <v>65500.01</v>
      </c>
      <c r="B13" s="5">
        <v>80500</v>
      </c>
      <c r="D13">
        <v>8</v>
      </c>
      <c r="F13" s="26">
        <v>89.43</v>
      </c>
      <c r="G13" s="26">
        <v>237.19</v>
      </c>
      <c r="I13" s="26">
        <v>50.34</v>
      </c>
      <c r="J13" s="26">
        <v>133.5</v>
      </c>
    </row>
    <row r="14" spans="1:11" x14ac:dyDescent="0.25">
      <c r="A14" s="5">
        <v>80500.009999999995</v>
      </c>
      <c r="B14" s="5">
        <v>100000</v>
      </c>
      <c r="D14">
        <v>9</v>
      </c>
      <c r="F14" s="26">
        <v>97.35</v>
      </c>
      <c r="G14" s="26">
        <v>258.2</v>
      </c>
      <c r="I14" s="26">
        <v>56.46</v>
      </c>
      <c r="J14" s="26">
        <v>149.71</v>
      </c>
    </row>
    <row r="15" spans="1:11" x14ac:dyDescent="0.25">
      <c r="A15" s="5">
        <v>100000.01</v>
      </c>
      <c r="B15" s="5">
        <v>150000</v>
      </c>
      <c r="D15">
        <v>10</v>
      </c>
      <c r="F15" s="26">
        <v>105.27</v>
      </c>
      <c r="G15" s="26">
        <v>279.20999999999998</v>
      </c>
      <c r="I15" s="26">
        <v>62.58</v>
      </c>
      <c r="J15" s="26">
        <v>165.93</v>
      </c>
    </row>
    <row r="16" spans="1:11" x14ac:dyDescent="0.25">
      <c r="A16" s="5">
        <v>150000.01</v>
      </c>
      <c r="B16" s="5">
        <v>200000</v>
      </c>
      <c r="D16">
        <v>11</v>
      </c>
      <c r="F16" s="26">
        <v>113.19</v>
      </c>
      <c r="G16" s="26">
        <v>300.20999999999998</v>
      </c>
      <c r="I16" s="26">
        <v>68.69</v>
      </c>
      <c r="J16" s="26">
        <v>182.15</v>
      </c>
    </row>
    <row r="17" spans="1:10" x14ac:dyDescent="0.25">
      <c r="A17" s="5">
        <v>200000.01</v>
      </c>
      <c r="B17" s="5">
        <v>9999999</v>
      </c>
      <c r="D17">
        <v>12</v>
      </c>
      <c r="F17" s="26">
        <v>121.11</v>
      </c>
      <c r="G17" s="26">
        <v>321.22000000000003</v>
      </c>
      <c r="I17" s="26">
        <v>74.81</v>
      </c>
      <c r="J17" s="26">
        <v>198.36</v>
      </c>
    </row>
  </sheetData>
  <mergeCells count="5">
    <mergeCell ref="A5:B5"/>
    <mergeCell ref="F4:G4"/>
    <mergeCell ref="I4:J4"/>
    <mergeCell ref="F3:G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workbookViewId="0">
      <selection activeCell="J21" sqref="J21"/>
    </sheetView>
  </sheetViews>
  <sheetFormatPr defaultRowHeight="15" x14ac:dyDescent="0.25"/>
  <cols>
    <col min="1" max="1" width="15.5703125" customWidth="1"/>
    <col min="2" max="2" width="13.28515625" bestFit="1" customWidth="1"/>
    <col min="3" max="3" width="1.7109375" customWidth="1"/>
    <col min="5" max="5" width="1.7109375" customWidth="1"/>
    <col min="6" max="7" width="14.7109375" customWidth="1"/>
    <col min="8" max="8" width="1.7109375" customWidth="1"/>
    <col min="9" max="10" width="14.7109375" customWidth="1"/>
    <col min="11" max="11" width="1.7109375" customWidth="1"/>
  </cols>
  <sheetData>
    <row r="1" spans="1:11" x14ac:dyDescent="0.25">
      <c r="A1" s="7" t="s">
        <v>79</v>
      </c>
    </row>
    <row r="2" spans="1:11" hidden="1" x14ac:dyDescent="0.25"/>
    <row r="3" spans="1:11" x14ac:dyDescent="0.25">
      <c r="F3" s="57" t="s">
        <v>9</v>
      </c>
      <c r="G3" s="57"/>
      <c r="I3" s="57" t="s">
        <v>9</v>
      </c>
      <c r="J3" s="57"/>
      <c r="K3" s="2"/>
    </row>
    <row r="4" spans="1:11" x14ac:dyDescent="0.25">
      <c r="F4" s="56" t="s">
        <v>44</v>
      </c>
      <c r="G4" s="56"/>
      <c r="I4" s="56" t="s">
        <v>53</v>
      </c>
      <c r="J4" s="56"/>
      <c r="K4" s="6"/>
    </row>
    <row r="5" spans="1:11" x14ac:dyDescent="0.25">
      <c r="A5" s="55" t="s">
        <v>14</v>
      </c>
      <c r="B5" s="55"/>
      <c r="D5" s="1" t="s">
        <v>16</v>
      </c>
      <c r="F5" s="1" t="s">
        <v>6</v>
      </c>
      <c r="G5" s="1" t="s">
        <v>7</v>
      </c>
      <c r="I5" s="1" t="s">
        <v>6</v>
      </c>
      <c r="J5" s="1" t="s">
        <v>7</v>
      </c>
      <c r="K5" s="2"/>
    </row>
    <row r="6" spans="1:11" x14ac:dyDescent="0.25">
      <c r="A6" s="5">
        <v>0</v>
      </c>
      <c r="B6" s="5">
        <v>24000</v>
      </c>
      <c r="D6">
        <v>1</v>
      </c>
      <c r="F6" s="26">
        <v>35.18</v>
      </c>
      <c r="G6" s="26">
        <v>93.32</v>
      </c>
      <c r="H6" s="26"/>
      <c r="I6" s="26">
        <v>8.4600000000000009</v>
      </c>
      <c r="J6" s="26">
        <v>22.42</v>
      </c>
    </row>
    <row r="7" spans="1:11" x14ac:dyDescent="0.25">
      <c r="A7" s="5">
        <v>24000.01</v>
      </c>
      <c r="B7" s="5">
        <v>28500</v>
      </c>
      <c r="D7">
        <v>2</v>
      </c>
      <c r="F7" s="26">
        <v>42.9</v>
      </c>
      <c r="G7" s="26">
        <v>113.8</v>
      </c>
      <c r="H7" s="26"/>
      <c r="I7" s="26">
        <v>14.42</v>
      </c>
      <c r="J7" s="26">
        <v>38.229999999999997</v>
      </c>
    </row>
    <row r="8" spans="1:11" x14ac:dyDescent="0.25">
      <c r="A8" s="5">
        <v>28500.01</v>
      </c>
      <c r="B8" s="5">
        <v>33000</v>
      </c>
      <c r="D8">
        <v>3</v>
      </c>
      <c r="F8" s="26">
        <v>50.62</v>
      </c>
      <c r="G8" s="26">
        <v>134.27000000000001</v>
      </c>
      <c r="H8" s="26"/>
      <c r="I8" s="26">
        <v>20.38</v>
      </c>
      <c r="J8" s="26">
        <v>54.04</v>
      </c>
    </row>
    <row r="9" spans="1:11" x14ac:dyDescent="0.25">
      <c r="A9" s="5">
        <v>33000.01</v>
      </c>
      <c r="B9" s="5">
        <v>39000</v>
      </c>
      <c r="D9">
        <v>4</v>
      </c>
      <c r="F9" s="26">
        <v>58.35</v>
      </c>
      <c r="G9" s="26">
        <v>154.75</v>
      </c>
      <c r="H9" s="26"/>
      <c r="I9" s="26">
        <v>26.34</v>
      </c>
      <c r="J9" s="26">
        <v>69.849999999999994</v>
      </c>
    </row>
    <row r="10" spans="1:11" x14ac:dyDescent="0.25">
      <c r="A10" s="5">
        <v>39000.01</v>
      </c>
      <c r="B10" s="5">
        <v>46000</v>
      </c>
      <c r="D10">
        <v>5</v>
      </c>
      <c r="F10" s="26">
        <v>66.069999999999993</v>
      </c>
      <c r="G10" s="26">
        <v>175.23</v>
      </c>
      <c r="H10" s="26"/>
      <c r="I10" s="26">
        <v>32.299999999999997</v>
      </c>
      <c r="J10" s="26">
        <v>85.66</v>
      </c>
    </row>
    <row r="11" spans="1:11" x14ac:dyDescent="0.25">
      <c r="A11" s="5">
        <v>46000.01</v>
      </c>
      <c r="B11" s="5">
        <v>54000</v>
      </c>
      <c r="D11">
        <v>6</v>
      </c>
      <c r="F11" s="26">
        <v>73.790000000000006</v>
      </c>
      <c r="G11" s="26">
        <v>195.71</v>
      </c>
      <c r="H11" s="26"/>
      <c r="I11" s="26">
        <v>38.270000000000003</v>
      </c>
      <c r="J11" s="26">
        <v>101.47</v>
      </c>
    </row>
    <row r="12" spans="1:11" x14ac:dyDescent="0.25">
      <c r="A12" s="5">
        <v>54000.01</v>
      </c>
      <c r="B12" s="5">
        <v>65500</v>
      </c>
      <c r="D12">
        <v>7</v>
      </c>
      <c r="F12" s="26">
        <v>81.510000000000005</v>
      </c>
      <c r="G12" s="26">
        <v>216.19</v>
      </c>
      <c r="H12" s="26"/>
      <c r="I12" s="26">
        <v>44.23</v>
      </c>
      <c r="J12" s="26">
        <v>117.28</v>
      </c>
    </row>
    <row r="13" spans="1:11" x14ac:dyDescent="0.25">
      <c r="A13" s="5">
        <v>65500.01</v>
      </c>
      <c r="B13" s="5">
        <v>80500</v>
      </c>
      <c r="D13">
        <v>8</v>
      </c>
      <c r="F13" s="26">
        <v>89.43</v>
      </c>
      <c r="G13" s="26">
        <v>237.19</v>
      </c>
      <c r="H13" s="26"/>
      <c r="I13" s="26">
        <v>50.34</v>
      </c>
      <c r="J13" s="26">
        <v>133.5</v>
      </c>
    </row>
    <row r="14" spans="1:11" x14ac:dyDescent="0.25">
      <c r="A14" s="5">
        <v>80500.009999999995</v>
      </c>
      <c r="B14" s="5">
        <v>100000</v>
      </c>
      <c r="D14">
        <v>9</v>
      </c>
      <c r="F14" s="26">
        <v>97.35</v>
      </c>
      <c r="G14" s="26">
        <v>258.2</v>
      </c>
      <c r="H14" s="26"/>
      <c r="I14" s="26">
        <v>56.46</v>
      </c>
      <c r="J14" s="26">
        <v>149.71</v>
      </c>
    </row>
    <row r="15" spans="1:11" x14ac:dyDescent="0.25">
      <c r="A15" s="5">
        <v>100000.01</v>
      </c>
      <c r="B15" s="5">
        <v>150000</v>
      </c>
      <c r="D15">
        <v>10</v>
      </c>
      <c r="F15" s="26">
        <v>105.27</v>
      </c>
      <c r="G15" s="26">
        <v>279.20999999999998</v>
      </c>
      <c r="H15" s="26"/>
      <c r="I15" s="26">
        <v>62.58</v>
      </c>
      <c r="J15" s="26">
        <v>165.93</v>
      </c>
    </row>
    <row r="16" spans="1:11" x14ac:dyDescent="0.25">
      <c r="A16" s="5">
        <v>150000.01</v>
      </c>
      <c r="B16" s="5">
        <v>200000</v>
      </c>
      <c r="D16">
        <v>11</v>
      </c>
      <c r="F16" s="26">
        <v>113.19</v>
      </c>
      <c r="G16" s="26">
        <v>300.20999999999998</v>
      </c>
      <c r="H16" s="26"/>
      <c r="I16" s="26">
        <v>68.69</v>
      </c>
      <c r="J16" s="26">
        <v>182.15</v>
      </c>
    </row>
    <row r="17" spans="1:10" x14ac:dyDescent="0.25">
      <c r="A17" s="5">
        <v>200000.01</v>
      </c>
      <c r="B17" s="5">
        <v>9999999</v>
      </c>
      <c r="D17">
        <v>12</v>
      </c>
      <c r="F17" s="26">
        <v>121.11</v>
      </c>
      <c r="G17" s="26">
        <v>321.22000000000003</v>
      </c>
      <c r="H17" s="26"/>
      <c r="I17" s="26">
        <v>74.81</v>
      </c>
      <c r="J17" s="26">
        <v>198.36</v>
      </c>
    </row>
  </sheetData>
  <mergeCells count="5">
    <mergeCell ref="A5:B5"/>
    <mergeCell ref="F3:G3"/>
    <mergeCell ref="I3:J3"/>
    <mergeCell ref="F4:G4"/>
    <mergeCell ref="I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I5" sqref="I5"/>
    </sheetView>
  </sheetViews>
  <sheetFormatPr defaultRowHeight="15" x14ac:dyDescent="0.25"/>
  <sheetData>
    <row r="1" spans="1:1" x14ac:dyDescent="0.25">
      <c r="A1" t="s">
        <v>6</v>
      </c>
    </row>
    <row r="2" spans="1:1" x14ac:dyDescent="0.25">
      <c r="A2" t="s">
        <v>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
  <sheetViews>
    <sheetView workbookViewId="0">
      <selection activeCell="I5" sqref="I5"/>
    </sheetView>
  </sheetViews>
  <sheetFormatPr defaultRowHeight="15" x14ac:dyDescent="0.25"/>
  <sheetData>
    <row r="1" spans="1:1" x14ac:dyDescent="0.25">
      <c r="A1" s="12" t="s">
        <v>36</v>
      </c>
    </row>
    <row r="2" spans="1:1" x14ac:dyDescent="0.25">
      <c r="A2" t="s">
        <v>43</v>
      </c>
    </row>
    <row r="3" spans="1:1" x14ac:dyDescent="0.25">
      <c r="A3" t="s">
        <v>37</v>
      </c>
    </row>
    <row r="4" spans="1:1" x14ac:dyDescent="0.25">
      <c r="A4" t="s">
        <v>38</v>
      </c>
    </row>
    <row r="6" spans="1:1" x14ac:dyDescent="0.25">
      <c r="A6" s="12" t="s">
        <v>39</v>
      </c>
    </row>
    <row r="7" spans="1:1" x14ac:dyDescent="0.25">
      <c r="A7" t="s">
        <v>40</v>
      </c>
    </row>
    <row r="8" spans="1:1" x14ac:dyDescent="0.25">
      <c r="A8" t="s">
        <v>41</v>
      </c>
    </row>
    <row r="9" spans="1:1" x14ac:dyDescent="0.25">
      <c r="A9" t="s">
        <v>42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5" sqref="I5"/>
    </sheetView>
  </sheetViews>
  <sheetFormatPr defaultRowHeight="15" x14ac:dyDescent="0.25"/>
  <sheetData>
    <row r="1" spans="1:1" x14ac:dyDescent="0.25">
      <c r="A1" t="s">
        <v>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1"/>
  <sheetViews>
    <sheetView workbookViewId="0">
      <selection activeCell="I5" sqref="I5"/>
    </sheetView>
  </sheetViews>
  <sheetFormatPr defaultColWidth="8.85546875" defaultRowHeight="15" x14ac:dyDescent="0.25"/>
  <cols>
    <col min="1" max="1" width="43.42578125" customWidth="1"/>
    <col min="2" max="2" width="14.7109375" customWidth="1"/>
    <col min="3" max="3" width="1.7109375" customWidth="1"/>
    <col min="4" max="4" width="11.85546875" hidden="1" customWidth="1"/>
    <col min="5" max="5" width="1.7109375" hidden="1" customWidth="1"/>
    <col min="6" max="6" width="11.85546875" customWidth="1"/>
    <col min="7" max="7" width="1.7109375" hidden="1" customWidth="1"/>
    <col min="8" max="8" width="11.85546875" hidden="1" customWidth="1"/>
    <col min="9" max="14" width="8.85546875" customWidth="1"/>
  </cols>
  <sheetData>
    <row r="1" spans="1:8" ht="19.5" x14ac:dyDescent="0.25">
      <c r="A1" s="27" t="s">
        <v>0</v>
      </c>
      <c r="B1" s="28"/>
      <c r="F1" s="28"/>
    </row>
    <row r="2" spans="1:8" ht="18" x14ac:dyDescent="0.25">
      <c r="A2" s="29" t="s">
        <v>54</v>
      </c>
      <c r="B2" s="28"/>
      <c r="F2" s="28"/>
    </row>
    <row r="3" spans="1:8" ht="15.75" x14ac:dyDescent="0.25">
      <c r="A3" s="30" t="s">
        <v>2</v>
      </c>
      <c r="B3" s="28"/>
      <c r="F3" s="28"/>
    </row>
    <row r="4" spans="1:8" x14ac:dyDescent="0.25">
      <c r="A4" s="12" t="s">
        <v>48</v>
      </c>
      <c r="B4" s="28"/>
      <c r="F4" s="28"/>
    </row>
    <row r="5" spans="1:8" ht="15.75" thickBot="1" x14ac:dyDescent="0.3">
      <c r="A5" s="31" t="s">
        <v>71</v>
      </c>
      <c r="B5" s="32"/>
      <c r="C5" s="32"/>
      <c r="D5" s="32"/>
      <c r="E5" s="32"/>
      <c r="F5" s="32"/>
      <c r="G5" s="32"/>
      <c r="H5" s="32"/>
    </row>
    <row r="7" spans="1:8" x14ac:dyDescent="0.25">
      <c r="A7" s="33" t="s">
        <v>63</v>
      </c>
    </row>
    <row r="8" spans="1:8" ht="29.65" customHeight="1" x14ac:dyDescent="0.25">
      <c r="A8" s="58" t="s">
        <v>65</v>
      </c>
      <c r="B8" s="58"/>
      <c r="C8" s="58"/>
      <c r="D8" s="58"/>
      <c r="E8" s="58"/>
      <c r="F8" s="58"/>
      <c r="G8" s="58"/>
      <c r="H8" s="58"/>
    </row>
    <row r="9" spans="1:8" x14ac:dyDescent="0.25">
      <c r="A9" s="33"/>
    </row>
    <row r="10" spans="1:8" x14ac:dyDescent="0.25">
      <c r="B10" s="57" t="s">
        <v>39</v>
      </c>
      <c r="C10" s="57"/>
      <c r="D10" s="57"/>
      <c r="F10" s="57" t="s">
        <v>45</v>
      </c>
      <c r="G10" s="57"/>
      <c r="H10" s="57"/>
    </row>
    <row r="11" spans="1:8" x14ac:dyDescent="0.25">
      <c r="A11" s="12" t="s">
        <v>49</v>
      </c>
      <c r="B11" s="1" t="s">
        <v>6</v>
      </c>
      <c r="C11" s="6"/>
      <c r="D11" s="1" t="s">
        <v>7</v>
      </c>
      <c r="E11" s="6"/>
      <c r="F11" s="1" t="s">
        <v>6</v>
      </c>
      <c r="G11" s="6"/>
      <c r="H11" s="1" t="s">
        <v>7</v>
      </c>
    </row>
    <row r="12" spans="1:8" x14ac:dyDescent="0.25">
      <c r="A12" t="s">
        <v>12</v>
      </c>
      <c r="B12" s="3">
        <v>1500</v>
      </c>
      <c r="C12" s="3"/>
      <c r="D12" s="3">
        <v>3000</v>
      </c>
      <c r="E12" s="3"/>
      <c r="F12" s="3">
        <v>300</v>
      </c>
      <c r="G12" s="3"/>
      <c r="H12" s="3">
        <v>600</v>
      </c>
    </row>
    <row r="13" spans="1:8" x14ac:dyDescent="0.25">
      <c r="A13" t="s">
        <v>61</v>
      </c>
      <c r="B13" s="15">
        <v>1000</v>
      </c>
      <c r="C13" s="3"/>
      <c r="D13" s="15">
        <v>2000</v>
      </c>
      <c r="E13" s="3"/>
      <c r="F13" s="15">
        <v>0</v>
      </c>
      <c r="G13" s="3"/>
      <c r="H13" s="15">
        <v>0</v>
      </c>
    </row>
    <row r="14" spans="1:8" x14ac:dyDescent="0.25">
      <c r="A14" s="12" t="s">
        <v>46</v>
      </c>
      <c r="B14" s="13">
        <f>+B12-B13</f>
        <v>500</v>
      </c>
      <c r="C14" s="13"/>
      <c r="D14" s="13">
        <f>+D12-D13</f>
        <v>1000</v>
      </c>
      <c r="E14" s="13"/>
      <c r="F14" s="13">
        <f>+F12-F13</f>
        <v>300</v>
      </c>
      <c r="G14" s="13"/>
      <c r="H14" s="13">
        <f>+H12-H13</f>
        <v>600</v>
      </c>
    </row>
    <row r="16" spans="1:8" ht="30.75" customHeight="1" x14ac:dyDescent="0.25">
      <c r="A16" t="s">
        <v>62</v>
      </c>
      <c r="B16" s="59" t="s">
        <v>47</v>
      </c>
      <c r="C16" s="59"/>
      <c r="D16" s="59"/>
      <c r="F16" s="3">
        <v>180</v>
      </c>
      <c r="G16" s="3"/>
      <c r="H16" s="3">
        <v>360</v>
      </c>
    </row>
    <row r="18" spans="1:8" x14ac:dyDescent="0.25">
      <c r="A18" s="12" t="s">
        <v>50</v>
      </c>
      <c r="B18" s="13">
        <f>+B14</f>
        <v>500</v>
      </c>
      <c r="C18" s="12"/>
      <c r="D18" s="13">
        <f>+D14</f>
        <v>1000</v>
      </c>
      <c r="E18" s="12"/>
      <c r="F18" s="13">
        <f>+F16+F14</f>
        <v>480</v>
      </c>
      <c r="G18" s="12"/>
      <c r="H18" s="13">
        <f>+H16+H14</f>
        <v>960</v>
      </c>
    </row>
    <row r="20" spans="1:8" x14ac:dyDescent="0.25">
      <c r="A20" t="s">
        <v>51</v>
      </c>
      <c r="B20" s="3">
        <f>+'Emp Cont Table '!I10*24</f>
        <v>775.19999999999993</v>
      </c>
      <c r="C20" s="3"/>
      <c r="D20" s="3">
        <f>+'Emp Cont Table '!$J$10*24</f>
        <v>2055.84</v>
      </c>
      <c r="E20" s="3"/>
      <c r="F20" s="3">
        <v>1291.4399299324009</v>
      </c>
      <c r="G20" s="3"/>
      <c r="H20" s="3" t="e">
        <f>+'Emp Cont Table '!#REF!*24</f>
        <v>#REF!</v>
      </c>
    </row>
    <row r="22" spans="1:8" s="12" customFormat="1" ht="15.75" thickBot="1" x14ac:dyDescent="0.3">
      <c r="A22" s="12" t="s">
        <v>64</v>
      </c>
      <c r="B22" s="34">
        <f>+B18+B20</f>
        <v>1275.1999999999998</v>
      </c>
      <c r="D22" s="34">
        <f>+D18+D20</f>
        <v>3055.84</v>
      </c>
      <c r="F22" s="34">
        <f>+F18+F20</f>
        <v>1771.4399299324009</v>
      </c>
      <c r="H22" s="34" t="e">
        <f>+H18+H20</f>
        <v>#REF!</v>
      </c>
    </row>
    <row r="23" spans="1:8" s="12" customFormat="1" ht="15.75" thickTop="1" x14ac:dyDescent="0.25">
      <c r="B23" s="13"/>
      <c r="D23" s="13"/>
      <c r="F23" s="13"/>
      <c r="H23" s="13"/>
    </row>
    <row r="24" spans="1:8" s="12" customFormat="1" x14ac:dyDescent="0.25">
      <c r="B24" s="13"/>
      <c r="D24" s="13"/>
      <c r="F24" s="13"/>
      <c r="H24" s="13"/>
    </row>
    <row r="25" spans="1:8" x14ac:dyDescent="0.25">
      <c r="A25" s="33" t="s">
        <v>67</v>
      </c>
    </row>
    <row r="26" spans="1:8" ht="34.5" customHeight="1" x14ac:dyDescent="0.25">
      <c r="A26" s="58" t="s">
        <v>66</v>
      </c>
      <c r="B26" s="58"/>
      <c r="C26" s="58"/>
      <c r="D26" s="58"/>
      <c r="E26" s="58"/>
      <c r="F26" s="58"/>
      <c r="G26" s="58"/>
      <c r="H26" s="58"/>
    </row>
    <row r="28" spans="1:8" x14ac:dyDescent="0.25">
      <c r="B28" s="57" t="s">
        <v>39</v>
      </c>
      <c r="C28" s="57"/>
      <c r="D28" s="57"/>
      <c r="F28" s="57" t="s">
        <v>45</v>
      </c>
      <c r="G28" s="57"/>
      <c r="H28" s="57"/>
    </row>
    <row r="29" spans="1:8" x14ac:dyDescent="0.25">
      <c r="A29" s="12" t="s">
        <v>49</v>
      </c>
      <c r="B29" s="1" t="s">
        <v>7</v>
      </c>
      <c r="C29" s="6"/>
      <c r="D29" s="1" t="s">
        <v>7</v>
      </c>
      <c r="E29" s="6"/>
      <c r="F29" s="1" t="s">
        <v>7</v>
      </c>
      <c r="G29" s="6"/>
      <c r="H29" s="1" t="s">
        <v>7</v>
      </c>
    </row>
    <row r="30" spans="1:8" x14ac:dyDescent="0.25">
      <c r="A30" t="s">
        <v>12</v>
      </c>
      <c r="B30" s="3">
        <v>3000</v>
      </c>
      <c r="C30" s="3"/>
      <c r="D30" s="3">
        <v>3000</v>
      </c>
      <c r="E30" s="3"/>
      <c r="F30" s="3">
        <v>600</v>
      </c>
      <c r="G30" s="3"/>
      <c r="H30" s="3">
        <v>600</v>
      </c>
    </row>
    <row r="31" spans="1:8" x14ac:dyDescent="0.25">
      <c r="A31" t="s">
        <v>61</v>
      </c>
      <c r="B31" s="15">
        <v>2000</v>
      </c>
      <c r="C31" s="3"/>
      <c r="D31" s="15">
        <v>2000</v>
      </c>
      <c r="E31" s="3"/>
      <c r="F31" s="15">
        <v>0</v>
      </c>
      <c r="G31" s="3"/>
      <c r="H31" s="15">
        <v>0</v>
      </c>
    </row>
    <row r="32" spans="1:8" x14ac:dyDescent="0.25">
      <c r="A32" s="12" t="s">
        <v>46</v>
      </c>
      <c r="B32" s="13">
        <f>+B30-B31</f>
        <v>1000</v>
      </c>
      <c r="C32" s="13"/>
      <c r="D32" s="13">
        <f>+D30-D31</f>
        <v>1000</v>
      </c>
      <c r="E32" s="13"/>
      <c r="F32" s="13">
        <f>+F30-F31</f>
        <v>600</v>
      </c>
      <c r="G32" s="13"/>
      <c r="H32" s="13">
        <f>+H30-H31</f>
        <v>600</v>
      </c>
    </row>
    <row r="34" spans="1:8" ht="25.5" customHeight="1" x14ac:dyDescent="0.25">
      <c r="A34" t="s">
        <v>62</v>
      </c>
      <c r="B34" s="59" t="s">
        <v>47</v>
      </c>
      <c r="C34" s="59"/>
      <c r="D34" s="59"/>
      <c r="F34" s="3">
        <v>360</v>
      </c>
      <c r="G34" s="3"/>
      <c r="H34" s="3">
        <v>360</v>
      </c>
    </row>
    <row r="36" spans="1:8" x14ac:dyDescent="0.25">
      <c r="A36" s="12" t="s">
        <v>50</v>
      </c>
      <c r="B36" s="13">
        <f>+B32</f>
        <v>1000</v>
      </c>
      <c r="C36" s="12"/>
      <c r="D36" s="13">
        <f>+D32</f>
        <v>1000</v>
      </c>
      <c r="E36" s="12"/>
      <c r="F36" s="13">
        <f>+F34+F32</f>
        <v>960</v>
      </c>
      <c r="G36" s="12"/>
      <c r="H36" s="13">
        <f>+H34+H32</f>
        <v>960</v>
      </c>
    </row>
    <row r="38" spans="1:8" x14ac:dyDescent="0.25">
      <c r="A38" t="s">
        <v>51</v>
      </c>
      <c r="B38" s="3">
        <f>+'Emp Cont Table '!$J$10*24</f>
        <v>2055.84</v>
      </c>
      <c r="C38" s="3"/>
      <c r="D38" s="3">
        <f>+'Emp Cont Table '!J26*24</f>
        <v>0</v>
      </c>
      <c r="E38" s="3"/>
      <c r="F38" s="3" t="e">
        <f>+'Emp Cont Table '!#REF!*24</f>
        <v>#REF!</v>
      </c>
      <c r="G38" s="3"/>
      <c r="H38" s="3" t="e">
        <f>+'Emp Cont Table '!#REF!*24</f>
        <v>#REF!</v>
      </c>
    </row>
    <row r="40" spans="1:8" ht="15.75" thickBot="1" x14ac:dyDescent="0.3">
      <c r="A40" s="12" t="s">
        <v>64</v>
      </c>
      <c r="B40" s="34">
        <f>+B36+B38</f>
        <v>3055.84</v>
      </c>
      <c r="C40" s="12"/>
      <c r="D40" s="34">
        <f>+D36+D38</f>
        <v>1000</v>
      </c>
      <c r="E40" s="12"/>
      <c r="F40" s="34" t="e">
        <f>+F36+F38</f>
        <v>#REF!</v>
      </c>
      <c r="G40" s="12"/>
      <c r="H40" s="34" t="e">
        <f>+H36+H38</f>
        <v>#REF!</v>
      </c>
    </row>
    <row r="41" spans="1:8" ht="15.75" thickTop="1" x14ac:dyDescent="0.25"/>
  </sheetData>
  <mergeCells count="8">
    <mergeCell ref="A8:H8"/>
    <mergeCell ref="B28:D28"/>
    <mergeCell ref="F28:H28"/>
    <mergeCell ref="B34:D34"/>
    <mergeCell ref="A26:H26"/>
    <mergeCell ref="B10:D10"/>
    <mergeCell ref="F10:H10"/>
    <mergeCell ref="B16:D16"/>
  </mergeCells>
  <printOptions horizontalCentered="1"/>
  <pageMargins left="0.2" right="0.2"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Model </vt:lpstr>
      <vt:lpstr>Model - AAUP</vt:lpstr>
      <vt:lpstr>Plan Info</vt:lpstr>
      <vt:lpstr>Emp Cont Table </vt:lpstr>
      <vt:lpstr>Emp Cont Table - AAUP</vt:lpstr>
      <vt:lpstr>Lists</vt:lpstr>
      <vt:lpstr>Notes</vt:lpstr>
      <vt:lpstr>PW</vt:lpstr>
      <vt:lpstr>Example - Non Bargaining</vt:lpstr>
      <vt:lpstr>Example - Bargaining</vt:lpstr>
      <vt:lpstr>'Example - Bargaining'!Print_Area</vt:lpstr>
      <vt:lpstr>'Example - Non Bargaining'!Print_Area</vt:lpstr>
      <vt:lpstr>'Model '!Print_Area</vt:lpstr>
      <vt:lpstr>'Model - AAUP'!Print_Area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YI</dc:creator>
  <cp:lastModifiedBy>Marshall, Sheba</cp:lastModifiedBy>
  <cp:lastPrinted>2017-10-04T17:26:49Z</cp:lastPrinted>
  <dcterms:created xsi:type="dcterms:W3CDTF">2017-05-12T12:53:59Z</dcterms:created>
  <dcterms:modified xsi:type="dcterms:W3CDTF">2023-10-17T15:15:53Z</dcterms:modified>
</cp:coreProperties>
</file>